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nny\Desktop\"/>
    </mc:Choice>
  </mc:AlternateContent>
  <bookViews>
    <workbookView xWindow="600" yWindow="20" windowWidth="14150" windowHeight="9000" tabRatio="681"/>
  </bookViews>
  <sheets>
    <sheet name="XS1-A01A" sheetId="8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71027"/>
</workbook>
</file>

<file path=xl/calcChain.xml><?xml version="1.0" encoding="utf-8"?>
<calcChain xmlns="http://schemas.openxmlformats.org/spreadsheetml/2006/main">
  <c r="I43" i="8" l="1"/>
  <c r="I42" i="8"/>
  <c r="I41" i="8"/>
  <c r="J42" i="8"/>
  <c r="F72" i="8"/>
  <c r="F56" i="8"/>
  <c r="F50" i="8"/>
  <c r="F77" i="8" s="1"/>
  <c r="K42" i="8" s="1"/>
  <c r="L42" i="8" s="1"/>
  <c r="I36" i="8" l="1"/>
  <c r="J36" i="8" s="1"/>
  <c r="I26" i="8"/>
  <c r="J26" i="8" s="1"/>
  <c r="I40" i="8"/>
  <c r="J40" i="8" s="1"/>
  <c r="I39" i="8"/>
  <c r="J39" i="8" s="1"/>
  <c r="I38" i="8"/>
  <c r="J38" i="8" s="1"/>
  <c r="I37" i="8"/>
  <c r="J37" i="8" s="1"/>
  <c r="I30" i="8"/>
  <c r="J30" i="8" s="1"/>
  <c r="I29" i="8"/>
  <c r="J29" i="8" s="1"/>
  <c r="I28" i="8"/>
  <c r="J28" i="8" s="1"/>
  <c r="I27" i="8"/>
  <c r="J27" i="8" s="1"/>
  <c r="I21" i="8"/>
  <c r="I33" i="8"/>
  <c r="J33" i="8" s="1"/>
  <c r="I32" i="8"/>
  <c r="J32" i="8" s="1"/>
  <c r="I31" i="8"/>
  <c r="J31" i="8" s="1"/>
  <c r="I35" i="8"/>
  <c r="J35" i="8" s="1"/>
  <c r="I25" i="8"/>
  <c r="J25" i="8" s="1"/>
  <c r="I34" i="8"/>
  <c r="J34" i="8" s="1"/>
  <c r="I24" i="8"/>
  <c r="I23" i="8"/>
  <c r="J23" i="8" s="1"/>
  <c r="I22" i="8"/>
  <c r="J22" i="8" s="1"/>
  <c r="J24" i="8"/>
  <c r="J21" i="8"/>
  <c r="I20" i="8"/>
  <c r="J20" i="8" s="1"/>
  <c r="I12" i="8"/>
  <c r="I11" i="8"/>
  <c r="J11" i="8" s="1"/>
  <c r="I13" i="8"/>
  <c r="J13" i="8" s="1"/>
  <c r="I19" i="8"/>
  <c r="J19" i="8" s="1"/>
  <c r="I18" i="8"/>
  <c r="J18" i="8" s="1"/>
  <c r="I17" i="8"/>
  <c r="J17" i="8" s="1"/>
  <c r="I16" i="8"/>
  <c r="J16" i="8" s="1"/>
  <c r="I76" i="8" l="1"/>
  <c r="J76" i="8" s="1"/>
  <c r="I75" i="8"/>
  <c r="J75" i="8" s="1"/>
  <c r="I74" i="8"/>
  <c r="J74" i="8" s="1"/>
  <c r="I72" i="8" l="1"/>
  <c r="J72" i="8" s="1"/>
  <c r="K41" i="8"/>
  <c r="K43" i="8"/>
  <c r="K26" i="8"/>
  <c r="L26" i="8" s="1"/>
  <c r="K24" i="8"/>
  <c r="L24" i="8" s="1"/>
  <c r="K16" i="8"/>
  <c r="L16" i="8" s="1"/>
  <c r="K23" i="8"/>
  <c r="L23" i="8" s="1"/>
  <c r="K35" i="8"/>
  <c r="L35" i="8" s="1"/>
  <c r="K29" i="8"/>
  <c r="L29" i="8" s="1"/>
  <c r="K38" i="8"/>
  <c r="L38" i="8" s="1"/>
  <c r="K36" i="8"/>
  <c r="L36" i="8" s="1"/>
  <c r="K34" i="8"/>
  <c r="L34" i="8" s="1"/>
  <c r="K30" i="8"/>
  <c r="L30" i="8" s="1"/>
  <c r="K37" i="8"/>
  <c r="L37" i="8" s="1"/>
  <c r="K22" i="8"/>
  <c r="L22" i="8" s="1"/>
  <c r="K25" i="8"/>
  <c r="L25" i="8" s="1"/>
  <c r="K21" i="8"/>
  <c r="L21" i="8" s="1"/>
  <c r="K33" i="8"/>
  <c r="L33" i="8" s="1"/>
  <c r="K28" i="8"/>
  <c r="L28" i="8" s="1"/>
  <c r="K40" i="8"/>
  <c r="L40" i="8" s="1"/>
  <c r="K31" i="8"/>
  <c r="L31" i="8" s="1"/>
  <c r="K32" i="8"/>
  <c r="L32" i="8" s="1"/>
  <c r="K27" i="8"/>
  <c r="L27" i="8" s="1"/>
  <c r="K39" i="8"/>
  <c r="L39" i="8" s="1"/>
  <c r="I55" i="8"/>
  <c r="I53" i="8"/>
  <c r="I52" i="8"/>
  <c r="J52" i="8" s="1"/>
  <c r="I50" i="8"/>
  <c r="J50" i="8" s="1"/>
  <c r="J43" i="8"/>
  <c r="J41" i="8"/>
  <c r="J12" i="8" l="1"/>
  <c r="I10" i="8"/>
  <c r="J10" i="8" s="1"/>
  <c r="I15" i="8" l="1"/>
  <c r="J15" i="8" s="1"/>
  <c r="I14" i="8"/>
  <c r="J14" i="8" s="1"/>
  <c r="I49" i="8" l="1"/>
  <c r="J49" i="8" s="1"/>
  <c r="I48" i="8"/>
  <c r="J48" i="8" s="1"/>
  <c r="I47" i="8"/>
  <c r="J47" i="8" s="1"/>
  <c r="I46" i="8"/>
  <c r="J46" i="8" s="1"/>
  <c r="I45" i="8"/>
  <c r="J45" i="8" s="1"/>
  <c r="I44" i="8"/>
  <c r="J44" i="8" s="1"/>
  <c r="I54" i="8" l="1"/>
  <c r="I51" i="8"/>
  <c r="J53" i="8" l="1"/>
  <c r="I73" i="8"/>
  <c r="J73" i="8" s="1"/>
  <c r="I71" i="8" l="1"/>
  <c r="I69" i="8"/>
  <c r="I67" i="8"/>
  <c r="I65" i="8"/>
  <c r="I63" i="8"/>
  <c r="I59" i="8"/>
  <c r="I70" i="8"/>
  <c r="I68" i="8"/>
  <c r="I66" i="8"/>
  <c r="I64" i="8"/>
  <c r="I62" i="8"/>
  <c r="I60" i="8"/>
  <c r="I58" i="8"/>
  <c r="I56" i="8"/>
  <c r="J56" i="8" s="1"/>
  <c r="I61" i="8"/>
  <c r="I57" i="8"/>
  <c r="J70" i="8" l="1"/>
  <c r="I9" i="8"/>
  <c r="J9" i="8" s="1"/>
  <c r="K10" i="8" l="1"/>
  <c r="L10" i="8" s="1"/>
  <c r="K9" i="8"/>
  <c r="K74" i="8"/>
  <c r="L74" i="8" s="1"/>
  <c r="K20" i="8"/>
  <c r="L20" i="8" s="1"/>
  <c r="K18" i="8"/>
  <c r="L18" i="8" s="1"/>
  <c r="K17" i="8"/>
  <c r="L17" i="8" s="1"/>
  <c r="K59" i="8"/>
  <c r="K49" i="8"/>
  <c r="L49" i="8" s="1"/>
  <c r="L41" i="8"/>
  <c r="K19" i="8"/>
  <c r="L19" i="8" s="1"/>
  <c r="K75" i="8"/>
  <c r="L75" i="8" s="1"/>
  <c r="K76" i="8"/>
  <c r="L76" i="8" s="1"/>
  <c r="K52" i="8"/>
  <c r="L52" i="8" s="1"/>
  <c r="K46" i="8"/>
  <c r="L46" i="8" s="1"/>
  <c r="K13" i="8"/>
  <c r="L13" i="8" s="1"/>
  <c r="K12" i="8"/>
  <c r="L12" i="8" s="1"/>
  <c r="K53" i="8"/>
  <c r="L53" i="8" s="1"/>
  <c r="K44" i="8"/>
  <c r="L44" i="8" s="1"/>
  <c r="K48" i="8"/>
  <c r="L48" i="8" s="1"/>
  <c r="K11" i="8"/>
  <c r="K15" i="8"/>
  <c r="L15" i="8" s="1"/>
  <c r="K14" i="8"/>
  <c r="L14" i="8" s="1"/>
  <c r="L43" i="8"/>
  <c r="K45" i="8"/>
  <c r="L45" i="8" s="1"/>
  <c r="K47" i="8"/>
  <c r="L47" i="8" s="1"/>
  <c r="J51" i="8"/>
  <c r="J54" i="8"/>
  <c r="J55" i="8"/>
  <c r="K63" i="8"/>
  <c r="L63" i="8" s="1"/>
  <c r="K67" i="8"/>
  <c r="L67" i="8" s="1"/>
  <c r="K69" i="8"/>
  <c r="L69" i="8" s="1"/>
  <c r="K71" i="8"/>
  <c r="L71" i="8" s="1"/>
  <c r="E4" i="8"/>
  <c r="K57" i="8"/>
  <c r="L57" i="8" s="1"/>
  <c r="L59" i="8"/>
  <c r="K61" i="8"/>
  <c r="L61" i="8" s="1"/>
  <c r="K65" i="8"/>
  <c r="L65" i="8" s="1"/>
  <c r="K56" i="8"/>
  <c r="L56" i="8" s="1"/>
  <c r="K58" i="8"/>
  <c r="L58" i="8" s="1"/>
  <c r="K60" i="8"/>
  <c r="L60" i="8" s="1"/>
  <c r="K62" i="8"/>
  <c r="L62" i="8" s="1"/>
  <c r="K64" i="8"/>
  <c r="L64" i="8" s="1"/>
  <c r="K66" i="8"/>
  <c r="L66" i="8" s="1"/>
  <c r="K68" i="8"/>
  <c r="L68" i="8" s="1"/>
  <c r="K70" i="8"/>
  <c r="L70" i="8" s="1"/>
  <c r="J71" i="8"/>
  <c r="K72" i="8"/>
  <c r="L72" i="8" s="1"/>
  <c r="K73" i="8"/>
  <c r="L73" i="8" s="1"/>
  <c r="K50" i="8"/>
  <c r="L50" i="8" s="1"/>
  <c r="K51" i="8"/>
  <c r="L51" i="8" s="1"/>
  <c r="K54" i="8"/>
  <c r="L54" i="8" s="1"/>
  <c r="K55" i="8"/>
  <c r="L55" i="8" s="1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K77" i="8" l="1"/>
  <c r="L9" i="8"/>
  <c r="L11" i="8"/>
  <c r="L77" i="8" l="1"/>
</calcChain>
</file>

<file path=xl/sharedStrings.xml><?xml version="1.0" encoding="utf-8"?>
<sst xmlns="http://schemas.openxmlformats.org/spreadsheetml/2006/main" count="203" uniqueCount="151">
  <si>
    <t>7440-02-0</t>
    <phoneticPr fontId="5" type="noConversion"/>
  </si>
  <si>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</si>
  <si>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</si>
  <si>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</si>
  <si>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</si>
  <si>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</si>
  <si>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</si>
  <si>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</si>
  <si>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PKG TYPE</t>
    <phoneticPr fontId="6" type="noConversion"/>
  </si>
  <si>
    <t>Date</t>
    <phoneticPr fontId="7" type="noConversion"/>
  </si>
  <si>
    <t>Yes</t>
    <phoneticPr fontId="5" type="noConversion"/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</si>
  <si>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</si>
  <si>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</si>
  <si>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</si>
  <si>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</si>
  <si>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</si>
  <si>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</si>
  <si>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</si>
  <si>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Silicon(Si)</t>
    <phoneticPr fontId="5" type="noConversion"/>
  </si>
  <si>
    <t>7440-21-3</t>
    <phoneticPr fontId="5" type="noConversion"/>
  </si>
  <si>
    <t>7440-50-8</t>
    <phoneticPr fontId="5" type="noConversion"/>
  </si>
  <si>
    <t>Gold(Au)</t>
    <phoneticPr fontId="6" type="noConversion"/>
  </si>
  <si>
    <t>Mold compound</t>
    <phoneticPr fontId="5" type="noConversion"/>
  </si>
  <si>
    <t>Trade secret</t>
    <phoneticPr fontId="6" type="noConversion"/>
  </si>
  <si>
    <t>Substrate 
(Solder mask)</t>
    <phoneticPr fontId="6" type="noConversion"/>
  </si>
  <si>
    <t>Ni+Au plating</t>
    <phoneticPr fontId="5" type="noConversion"/>
  </si>
  <si>
    <t>Nickel(Ni)</t>
    <phoneticPr fontId="5" type="noConversion"/>
  </si>
  <si>
    <t>7440-57-5</t>
    <phoneticPr fontId="5" type="noConversion"/>
  </si>
  <si>
    <t>Inorganic Filler</t>
    <phoneticPr fontId="5" type="noConversion"/>
  </si>
  <si>
    <t>65997-17-3</t>
    <phoneticPr fontId="5" type="noConversion"/>
  </si>
  <si>
    <t>Trade secret</t>
    <phoneticPr fontId="8"/>
  </si>
  <si>
    <t>Acrylic Ester Monomer</t>
    <phoneticPr fontId="8"/>
  </si>
  <si>
    <t>Urethane Resin (Filler)</t>
    <phoneticPr fontId="8"/>
  </si>
  <si>
    <t>Pigment Blue</t>
    <phoneticPr fontId="8"/>
  </si>
  <si>
    <t>147-14-8</t>
    <phoneticPr fontId="8"/>
  </si>
  <si>
    <t>Pigment Yellow</t>
    <phoneticPr fontId="8"/>
  </si>
  <si>
    <t>Barium Sulfate</t>
    <phoneticPr fontId="8"/>
  </si>
  <si>
    <t>7727-43-7</t>
  </si>
  <si>
    <t>7631-86-9</t>
  </si>
  <si>
    <t>Talc</t>
    <phoneticPr fontId="8"/>
  </si>
  <si>
    <t>14807-96-6</t>
    <phoneticPr fontId="8"/>
  </si>
  <si>
    <t>Morpholine derivative</t>
    <phoneticPr fontId="8"/>
  </si>
  <si>
    <t>Triazine derivitive, etc</t>
    <phoneticPr fontId="8"/>
  </si>
  <si>
    <t>Sailane Compound, etc</t>
    <phoneticPr fontId="8"/>
  </si>
  <si>
    <t>112-15-2</t>
  </si>
  <si>
    <t>103429-90-9</t>
    <phoneticPr fontId="8"/>
  </si>
  <si>
    <t>64742-94-5</t>
    <phoneticPr fontId="8"/>
  </si>
  <si>
    <t xml:space="preserve">Carbon black </t>
    <phoneticPr fontId="5" type="noConversion"/>
  </si>
  <si>
    <t>Wafer</t>
    <phoneticPr fontId="5" type="noConversion"/>
  </si>
  <si>
    <t>1333-86-4</t>
    <phoneticPr fontId="6" type="noConversion"/>
  </si>
  <si>
    <t>Taiyo ink</t>
    <phoneticPr fontId="5" type="noConversion"/>
  </si>
  <si>
    <t>Customer</t>
    <phoneticPr fontId="7" type="noConversion"/>
  </si>
  <si>
    <t>Bonding Wire</t>
    <phoneticPr fontId="6" type="noConversion"/>
  </si>
  <si>
    <t>7440-22-4</t>
    <phoneticPr fontId="5" type="noConversion"/>
  </si>
  <si>
    <t>PSR4000-AUS308</t>
    <phoneticPr fontId="6" type="noConversion"/>
  </si>
  <si>
    <t>Silver(Ag)</t>
    <phoneticPr fontId="5" type="noConversion"/>
  </si>
  <si>
    <t>Copper(Cu)</t>
    <phoneticPr fontId="5" type="noConversion"/>
  </si>
  <si>
    <t>Heat Resistant Resin</t>
    <phoneticPr fontId="5" type="noConversion"/>
  </si>
  <si>
    <t>Total amount [gram]</t>
    <phoneticPr fontId="6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</si>
  <si>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</si>
  <si>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</si>
  <si>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</si>
  <si>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</si>
  <si>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</si>
  <si>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Trade secret</t>
    <phoneticPr fontId="5" type="noConversion"/>
  </si>
  <si>
    <t>EME G750C</t>
    <phoneticPr fontId="6" type="noConversion"/>
  </si>
  <si>
    <t>Epoxy resin A</t>
    <phoneticPr fontId="6" type="noConversion"/>
  </si>
  <si>
    <t>Epoxy resin B</t>
    <phoneticPr fontId="6" type="noConversion"/>
  </si>
  <si>
    <t>Phenol Novolac</t>
    <phoneticPr fontId="6" type="noConversion"/>
  </si>
  <si>
    <t>9003-35-4</t>
    <phoneticPr fontId="6" type="noConversion"/>
  </si>
  <si>
    <t>Metal Hydroxide</t>
    <phoneticPr fontId="6" type="noConversion"/>
  </si>
  <si>
    <t>Trade secret</t>
    <phoneticPr fontId="5" type="noConversion"/>
  </si>
  <si>
    <t>Silica Fused</t>
    <phoneticPr fontId="6" type="noConversion"/>
  </si>
  <si>
    <t>60676-86-0</t>
    <phoneticPr fontId="5" type="noConversion"/>
  </si>
  <si>
    <t>Diethylene glycol Monoethyl ether acetate</t>
    <phoneticPr fontId="8"/>
  </si>
  <si>
    <t>Dipropylene glycol monomethyl ether</t>
    <phoneticPr fontId="8"/>
  </si>
  <si>
    <t>3-methoxy-3-methylbutylacetate</t>
    <phoneticPr fontId="8"/>
  </si>
  <si>
    <t>34590-97-4-8/13429-07-7</t>
    <phoneticPr fontId="8"/>
  </si>
  <si>
    <t>Solvent naphtha, Heavy arom</t>
    <phoneticPr fontId="8"/>
  </si>
  <si>
    <t>Silica: Two compound</t>
    <phoneticPr fontId="8"/>
  </si>
  <si>
    <t>Epoxy Resin: Three Compound</t>
    <phoneticPr fontId="8"/>
  </si>
  <si>
    <t>Acrylate Resin: Two compound</t>
    <phoneticPr fontId="8"/>
  </si>
  <si>
    <t>Sumitomo</t>
    <phoneticPr fontId="5" type="noConversion"/>
  </si>
  <si>
    <t>Acrylate monomer</t>
    <phoneticPr fontId="5" type="noConversion"/>
  </si>
  <si>
    <t>XMOS</t>
    <phoneticPr fontId="7" type="noConversion"/>
  </si>
  <si>
    <t>1st Die</t>
    <phoneticPr fontId="5" type="noConversion"/>
  </si>
  <si>
    <t>2nd Die</t>
    <phoneticPr fontId="5" type="noConversion"/>
  </si>
  <si>
    <t>2100A</t>
    <phoneticPr fontId="6" type="noConversion"/>
  </si>
  <si>
    <t>1st Die attach</t>
    <phoneticPr fontId="6" type="noConversion"/>
  </si>
  <si>
    <t>2nd Die attach</t>
    <phoneticPr fontId="6" type="noConversion"/>
  </si>
  <si>
    <t>Epoxy resin</t>
    <phoneticPr fontId="5" type="noConversion"/>
  </si>
  <si>
    <t>Acrylic resin</t>
    <phoneticPr fontId="5" type="noConversion"/>
  </si>
  <si>
    <t>Korea Circuit</t>
    <phoneticPr fontId="5" type="noConversion"/>
  </si>
  <si>
    <t>Doosan</t>
    <phoneticPr fontId="5" type="noConversion"/>
  </si>
  <si>
    <t>Glass cloth</t>
    <phoneticPr fontId="5" type="noConversion"/>
  </si>
  <si>
    <t>Epoxy</t>
    <phoneticPr fontId="5" type="noConversion"/>
  </si>
  <si>
    <t>Flame Resistant Epoxy Resin</t>
    <phoneticPr fontId="5" type="noConversion"/>
  </si>
  <si>
    <t>7328-97-4</t>
    <phoneticPr fontId="5" type="noConversion"/>
  </si>
  <si>
    <t>223769-10-6</t>
    <phoneticPr fontId="5" type="noConversion"/>
  </si>
  <si>
    <t>12654-97-6</t>
    <phoneticPr fontId="5" type="noConversion"/>
  </si>
  <si>
    <t>7631-86-9</t>
    <phoneticPr fontId="5" type="noConversion"/>
  </si>
  <si>
    <t>FBGA 10X10 96BALL</t>
    <phoneticPr fontId="5" type="noConversion"/>
  </si>
  <si>
    <t>XMOS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</si>
  <si>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</si>
  <si>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</si>
  <si>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</si>
  <si>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0.40mm 
SAC305</t>
    <phoneticPr fontId="5" type="noConversion"/>
  </si>
  <si>
    <t>Silver(Ag)</t>
    <phoneticPr fontId="5" type="noConversion"/>
  </si>
  <si>
    <t>Copper(Cu)</t>
    <phoneticPr fontId="5" type="noConversion"/>
  </si>
  <si>
    <t>Tin(Sn)</t>
    <phoneticPr fontId="5" type="noConversion"/>
  </si>
  <si>
    <t>7440-31-5</t>
  </si>
  <si>
    <t>7440-22-4</t>
  </si>
  <si>
    <t>7440-57-5</t>
  </si>
  <si>
    <t>Barium titanium trioxide</t>
  </si>
  <si>
    <t>Copper (External Electrode)</t>
  </si>
  <si>
    <t>Nickel (Internal Electrode)</t>
  </si>
  <si>
    <t>Nickel (Plating)</t>
  </si>
  <si>
    <t>Tin (Plating)</t>
  </si>
  <si>
    <t>12047-27-7</t>
  </si>
  <si>
    <t>7440-50-8</t>
  </si>
  <si>
    <t>7440-02-0</t>
  </si>
  <si>
    <t>Murata</t>
    <phoneticPr fontId="5" type="noConversion"/>
  </si>
  <si>
    <t>Capacitor_1</t>
    <phoneticPr fontId="5" type="noConversion"/>
  </si>
  <si>
    <r>
      <t>0201, 10</t>
    </r>
    <r>
      <rPr>
        <sz val="10"/>
        <rFont val="돋움"/>
        <family val="3"/>
        <charset val="129"/>
      </rPr>
      <t>㎋</t>
    </r>
    <r>
      <rPr>
        <sz val="10"/>
        <rFont val="Calibri"/>
        <family val="2"/>
      </rPr>
      <t>, X7R, 10V</t>
    </r>
    <phoneticPr fontId="5" type="noConversion"/>
  </si>
  <si>
    <t>Senju</t>
    <phoneticPr fontId="5" type="noConversion"/>
  </si>
  <si>
    <t>Paste_1</t>
    <phoneticPr fontId="5" type="noConversion"/>
  </si>
  <si>
    <t>M705</t>
    <phoneticPr fontId="5" type="noConversion"/>
  </si>
  <si>
    <t>Rosin</t>
  </si>
  <si>
    <t>Solvent</t>
  </si>
  <si>
    <t>Trade secret</t>
  </si>
  <si>
    <r>
      <t>0402, 100</t>
    </r>
    <r>
      <rPr>
        <sz val="10"/>
        <rFont val="돋움"/>
        <family val="3"/>
        <charset val="129"/>
      </rPr>
      <t>㎋</t>
    </r>
    <r>
      <rPr>
        <sz val="10"/>
        <rFont val="Calibri"/>
        <family val="2"/>
      </rPr>
      <t>, X6S, 4V</t>
    </r>
    <phoneticPr fontId="5" type="noConversion"/>
  </si>
  <si>
    <t>Capacitor_2</t>
    <phoneticPr fontId="5" type="noConversion"/>
  </si>
  <si>
    <t>Paste_2</t>
    <phoneticPr fontId="5" type="noConversion"/>
  </si>
  <si>
    <t>XS1-A01A</t>
    <phoneticPr fontId="5" type="noConversion"/>
  </si>
  <si>
    <t>MKE</t>
    <phoneticPr fontId="5" type="noConversion"/>
  </si>
  <si>
    <t>0.8mil CuPd</t>
    <phoneticPr fontId="6" type="noConversion"/>
  </si>
  <si>
    <t>Copper(Cu)</t>
    <phoneticPr fontId="6" type="noConversion"/>
  </si>
  <si>
    <t>Palladium(Pd)</t>
    <phoneticPr fontId="5" type="noConversion"/>
  </si>
  <si>
    <t>Silver(Ag)</t>
    <phoneticPr fontId="6" type="noConversion"/>
  </si>
  <si>
    <t>7440-50-8</t>
    <phoneticPr fontId="5" type="noConversion"/>
  </si>
  <si>
    <t>7440-22-4</t>
    <phoneticPr fontId="5" type="noConversion"/>
  </si>
  <si>
    <t>7440-05-3</t>
    <phoneticPr fontId="5" type="noConversion"/>
  </si>
  <si>
    <t>Tin(Sn)</t>
    <phoneticPr fontId="5" type="noConversion"/>
  </si>
  <si>
    <t>Silver(Ag)</t>
    <phoneticPr fontId="5" type="noConversion"/>
  </si>
  <si>
    <t>Copper(Cu)</t>
    <phoneticPr fontId="6" type="noConversion"/>
  </si>
  <si>
    <t>Substrate
(Laminate)</t>
    <phoneticPr fontId="6" type="noConversion"/>
  </si>
  <si>
    <t>Substrate
(Plating)</t>
    <phoneticPr fontId="5" type="noConversion"/>
  </si>
  <si>
    <t>DS-7409HGB</t>
    <phoneticPr fontId="5" type="noConversion"/>
  </si>
  <si>
    <t>ICP Data</t>
  </si>
  <si>
    <t>MSDS</t>
  </si>
  <si>
    <t>2017.04.13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</si>
</sst>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_ "/>
    <numFmt numFmtId="165" formatCode="0.00000_);[Red]\(0.00000\)"/>
    <numFmt numFmtId="166" formatCode="0.00000"/>
    <numFmt numFmtId="167" formatCode="0.00000_ "/>
    <numFmt numFmtId="168" formatCode="0.0000"/>
    <numFmt numFmtId="169" formatCode="0.0000_);[Red]\(0.0000\)"/>
    <numFmt numFmtId="170" formatCode="0_ "/>
  </numFmts>
  <fonts count="20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6"/>
      <name val="ＭＳ Ｐゴシック"/>
      <family val="2"/>
      <charset val="128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  <font>
      <sz val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173">
    <xf numFmtId="0" fontId="0" fillId="0" borderId="0" xfId="0"/>
    <xf numFmtId="0" fontId="9" fillId="0" borderId="0" xfId="2" applyFont="1">
      <alignment vertical="center"/>
    </xf>
    <xf numFmtId="0" fontId="10" fillId="2" borderId="0" xfId="2" applyFont="1" applyFill="1" applyAlignment="1">
      <alignment horizontal="left"/>
    </xf>
    <xf numFmtId="0" fontId="11" fillId="2" borderId="0" xfId="2" applyFont="1" applyFill="1">
      <alignment vertical="center"/>
    </xf>
    <xf numFmtId="0" fontId="11" fillId="2" borderId="0" xfId="2" applyFont="1" applyFill="1" applyAlignment="1">
      <alignment horizontal="center"/>
    </xf>
    <xf numFmtId="165" fontId="11" fillId="2" borderId="0" xfId="2" applyNumberFormat="1" applyFont="1" applyFill="1">
      <alignment vertical="center"/>
    </xf>
    <xf numFmtId="0" fontId="12" fillId="0" borderId="0" xfId="2" applyFont="1" applyFill="1">
      <alignment vertical="center"/>
    </xf>
    <xf numFmtId="0" fontId="13" fillId="3" borderId="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165" fontId="13" fillId="3" borderId="2" xfId="2" applyNumberFormat="1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165" fontId="13" fillId="3" borderId="3" xfId="2" applyNumberFormat="1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/>
    </xf>
    <xf numFmtId="0" fontId="11" fillId="0" borderId="23" xfId="2" applyFont="1" applyFill="1" applyBorder="1" applyAlignment="1">
      <alignment horizontal="center" vertical="center" wrapText="1"/>
    </xf>
    <xf numFmtId="0" fontId="11" fillId="0" borderId="28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168" fontId="11" fillId="0" borderId="10" xfId="2" applyNumberFormat="1" applyFont="1" applyFill="1" applyBorder="1" applyAlignment="1">
      <alignment horizontal="center" vertical="center"/>
    </xf>
    <xf numFmtId="10" fontId="11" fillId="0" borderId="10" xfId="2" applyNumberFormat="1" applyFont="1" applyFill="1" applyBorder="1" applyAlignment="1">
      <alignment horizontal="center" vertical="center" wrapText="1"/>
    </xf>
    <xf numFmtId="10" fontId="11" fillId="0" borderId="10" xfId="2" applyNumberFormat="1" applyFont="1" applyFill="1" applyBorder="1" applyAlignment="1">
      <alignment horizontal="center" vertical="center"/>
    </xf>
    <xf numFmtId="1" fontId="16" fillId="0" borderId="11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10" fontId="11" fillId="0" borderId="2" xfId="2" applyNumberFormat="1" applyFont="1" applyFill="1" applyBorder="1" applyAlignment="1">
      <alignment horizontal="center" vertical="center" wrapText="1"/>
    </xf>
    <xf numFmtId="10" fontId="11" fillId="0" borderId="2" xfId="2" applyNumberFormat="1" applyFont="1" applyFill="1" applyBorder="1" applyAlignment="1">
      <alignment horizontal="center" vertical="center"/>
    </xf>
    <xf numFmtId="1" fontId="16" fillId="0" borderId="5" xfId="2" applyNumberFormat="1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10" fontId="11" fillId="0" borderId="1" xfId="2" applyNumberFormat="1" applyFont="1" applyFill="1" applyBorder="1" applyAlignment="1">
      <alignment horizontal="center" vertical="center" wrapText="1"/>
    </xf>
    <xf numFmtId="10" fontId="11" fillId="0" borderId="1" xfId="2" applyNumberFormat="1" applyFont="1" applyFill="1" applyBorder="1" applyAlignment="1">
      <alignment horizontal="center" vertical="center"/>
    </xf>
    <xf numFmtId="1" fontId="16" fillId="0" borderId="6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10" fontId="11" fillId="0" borderId="3" xfId="2" applyNumberFormat="1" applyFont="1" applyFill="1" applyBorder="1" applyAlignment="1">
      <alignment horizontal="center" vertical="center" wrapText="1"/>
    </xf>
    <xf numFmtId="10" fontId="11" fillId="0" borderId="3" xfId="2" applyNumberFormat="1" applyFont="1" applyFill="1" applyBorder="1" applyAlignment="1">
      <alignment horizontal="center" vertical="center"/>
    </xf>
    <xf numFmtId="1" fontId="16" fillId="0" borderId="7" xfId="2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10" fontId="11" fillId="0" borderId="8" xfId="2" applyNumberFormat="1" applyFont="1" applyFill="1" applyBorder="1" applyAlignment="1">
      <alignment horizontal="center" vertical="center" wrapText="1"/>
    </xf>
    <xf numFmtId="10" fontId="11" fillId="0" borderId="8" xfId="2" applyNumberFormat="1" applyFont="1" applyFill="1" applyBorder="1" applyAlignment="1">
      <alignment horizontal="center" vertical="center"/>
    </xf>
    <xf numFmtId="1" fontId="16" fillId="0" borderId="9" xfId="2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9" fillId="0" borderId="0" xfId="2" applyNumberFormat="1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/>
    </xf>
    <xf numFmtId="0" fontId="11" fillId="0" borderId="8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/>
    </xf>
    <xf numFmtId="167" fontId="9" fillId="0" borderId="0" xfId="2" applyNumberFormat="1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168" fontId="16" fillId="2" borderId="13" xfId="2" applyNumberFormat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165" fontId="18" fillId="2" borderId="0" xfId="2" applyNumberFormat="1" applyFont="1" applyFill="1" applyBorder="1" applyAlignment="1">
      <alignment horizontal="center"/>
    </xf>
    <xf numFmtId="166" fontId="9" fillId="0" borderId="0" xfId="2" applyNumberFormat="1" applyFont="1">
      <alignment vertical="center"/>
    </xf>
    <xf numFmtId="0" fontId="11" fillId="0" borderId="12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0" fontId="11" fillId="0" borderId="30" xfId="2" applyFont="1" applyFill="1" applyBorder="1" applyAlignment="1">
      <alignment horizontal="center" vertical="center" wrapText="1"/>
    </xf>
    <xf numFmtId="168" fontId="11" fillId="0" borderId="30" xfId="2" applyNumberFormat="1" applyFont="1" applyFill="1" applyBorder="1" applyAlignment="1">
      <alignment horizontal="center" vertical="center"/>
    </xf>
    <xf numFmtId="10" fontId="11" fillId="0" borderId="30" xfId="2" applyNumberFormat="1" applyFont="1" applyFill="1" applyBorder="1" applyAlignment="1">
      <alignment horizontal="center" vertical="center" wrapText="1"/>
    </xf>
    <xf numFmtId="10" fontId="11" fillId="0" borderId="30" xfId="2" applyNumberFormat="1" applyFont="1" applyFill="1" applyBorder="1" applyAlignment="1">
      <alignment horizontal="center" vertical="center"/>
    </xf>
    <xf numFmtId="1" fontId="16" fillId="0" borderId="13" xfId="2" applyNumberFormat="1" applyFont="1" applyFill="1" applyBorder="1" applyAlignment="1">
      <alignment horizontal="center" vertical="center"/>
    </xf>
    <xf numFmtId="169" fontId="11" fillId="0" borderId="10" xfId="2" applyNumberFormat="1" applyFont="1" applyFill="1" applyBorder="1" applyAlignment="1">
      <alignment horizontal="center" vertical="center" wrapText="1"/>
    </xf>
    <xf numFmtId="169" fontId="11" fillId="0" borderId="30" xfId="2" applyNumberFormat="1" applyFont="1" applyFill="1" applyBorder="1" applyAlignment="1">
      <alignment horizontal="center" vertical="center" wrapText="1"/>
    </xf>
    <xf numFmtId="169" fontId="11" fillId="0" borderId="2" xfId="2" applyNumberFormat="1" applyFont="1" applyFill="1" applyBorder="1" applyAlignment="1">
      <alignment horizontal="center" vertical="center" wrapText="1"/>
    </xf>
    <xf numFmtId="169" fontId="11" fillId="0" borderId="1" xfId="2" applyNumberFormat="1" applyFont="1" applyFill="1" applyBorder="1" applyAlignment="1">
      <alignment horizontal="center" vertical="center" wrapText="1"/>
    </xf>
    <xf numFmtId="169" fontId="11" fillId="0" borderId="3" xfId="2" applyNumberFormat="1" applyFont="1" applyFill="1" applyBorder="1" applyAlignment="1">
      <alignment horizontal="center" vertical="center" wrapText="1"/>
    </xf>
    <xf numFmtId="169" fontId="11" fillId="0" borderId="8" xfId="2" applyNumberFormat="1" applyFont="1" applyFill="1" applyBorder="1" applyAlignment="1">
      <alignment horizontal="center" vertical="center" wrapText="1"/>
    </xf>
    <xf numFmtId="169" fontId="11" fillId="0" borderId="2" xfId="3" applyNumberFormat="1" applyFont="1" applyFill="1" applyBorder="1" applyAlignment="1" applyProtection="1">
      <alignment horizontal="center" vertical="center"/>
      <protection locked="0"/>
    </xf>
    <xf numFmtId="169" fontId="11" fillId="0" borderId="1" xfId="3" applyNumberFormat="1" applyFont="1" applyFill="1" applyBorder="1" applyAlignment="1" applyProtection="1">
      <alignment horizontal="center" vertical="center"/>
      <protection locked="0"/>
    </xf>
    <xf numFmtId="169" fontId="11" fillId="0" borderId="3" xfId="3" applyNumberFormat="1" applyFont="1" applyFill="1" applyBorder="1" applyAlignment="1" applyProtection="1">
      <alignment horizontal="center" vertical="center"/>
      <protection locked="0"/>
    </xf>
    <xf numFmtId="169" fontId="11" fillId="0" borderId="8" xfId="3" applyNumberFormat="1" applyFont="1" applyFill="1" applyBorder="1" applyAlignment="1" applyProtection="1">
      <alignment horizontal="center" vertical="center"/>
      <protection locked="0"/>
    </xf>
    <xf numFmtId="169" fontId="11" fillId="0" borderId="10" xfId="3" applyNumberFormat="1" applyFont="1" applyFill="1" applyBorder="1" applyAlignment="1" applyProtection="1">
      <alignment horizontal="center" vertical="center"/>
      <protection locked="0"/>
    </xf>
    <xf numFmtId="10" fontId="16" fillId="2" borderId="33" xfId="2" applyNumberFormat="1" applyFont="1" applyFill="1" applyBorder="1" applyAlignment="1">
      <alignment horizontal="center"/>
    </xf>
    <xf numFmtId="170" fontId="16" fillId="2" borderId="31" xfId="2" applyNumberFormat="1" applyFont="1" applyFill="1" applyBorder="1" applyAlignment="1">
      <alignment horizont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69" fontId="11" fillId="0" borderId="27" xfId="2" applyNumberFormat="1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14" fontId="11" fillId="0" borderId="27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9" fillId="0" borderId="38" xfId="2" applyFont="1" applyBorder="1">
      <alignment vertical="center"/>
    </xf>
    <xf numFmtId="10" fontId="9" fillId="0" borderId="38" xfId="2" applyNumberFormat="1" applyFont="1" applyBorder="1">
      <alignment vertical="center"/>
    </xf>
    <xf numFmtId="164" fontId="9" fillId="0" borderId="38" xfId="2" applyNumberFormat="1" applyFont="1" applyBorder="1">
      <alignment vertical="center"/>
    </xf>
    <xf numFmtId="0" fontId="9" fillId="0" borderId="3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10" fontId="9" fillId="0" borderId="39" xfId="2" applyNumberFormat="1" applyFont="1" applyBorder="1" applyAlignment="1">
      <alignment horizontal="center" vertical="center"/>
    </xf>
    <xf numFmtId="10" fontId="9" fillId="0" borderId="40" xfId="2" applyNumberFormat="1" applyFont="1" applyBorder="1" applyAlignment="1">
      <alignment horizontal="center" vertical="center"/>
    </xf>
    <xf numFmtId="10" fontId="9" fillId="0" borderId="41" xfId="2" applyNumberFormat="1" applyFont="1" applyBorder="1" applyAlignment="1">
      <alignment horizontal="center" vertical="center"/>
    </xf>
    <xf numFmtId="0" fontId="11" fillId="0" borderId="32" xfId="2" applyFont="1" applyFill="1" applyBorder="1" applyAlignment="1">
      <alignment horizontal="center" vertical="center" wrapText="1"/>
    </xf>
    <xf numFmtId="0" fontId="11" fillId="0" borderId="33" xfId="2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168" fontId="11" fillId="0" borderId="26" xfId="2" applyNumberFormat="1" applyFont="1" applyFill="1" applyBorder="1" applyAlignment="1">
      <alignment horizontal="center" vertical="center"/>
    </xf>
    <xf numFmtId="168" fontId="11" fillId="0" borderId="27" xfId="2" applyNumberFormat="1" applyFont="1" applyFill="1" applyBorder="1" applyAlignment="1">
      <alignment horizontal="center" vertical="center"/>
    </xf>
    <xf numFmtId="168" fontId="11" fillId="0" borderId="2" xfId="2" applyNumberFormat="1" applyFont="1" applyFill="1" applyBorder="1" applyAlignment="1">
      <alignment horizontal="center" vertical="center" wrapText="1"/>
    </xf>
    <xf numFmtId="168" fontId="11" fillId="0" borderId="26" xfId="2" applyNumberFormat="1" applyFont="1" applyFill="1" applyBorder="1" applyAlignment="1">
      <alignment horizontal="center" vertical="center" wrapText="1"/>
    </xf>
    <xf numFmtId="168" fontId="9" fillId="0" borderId="3" xfId="2" applyNumberFormat="1" applyFont="1" applyFill="1" applyBorder="1" applyAlignment="1">
      <alignment horizontal="center" vertical="center" wrapText="1"/>
    </xf>
    <xf numFmtId="0" fontId="11" fillId="4" borderId="25" xfId="2" applyFont="1" applyFill="1" applyBorder="1" applyAlignment="1">
      <alignment horizontal="center" vertical="center" wrapText="1"/>
    </xf>
    <xf numFmtId="0" fontId="11" fillId="4" borderId="26" xfId="2" applyFont="1" applyFill="1" applyBorder="1" applyAlignment="1">
      <alignment horizontal="center" vertical="center" wrapText="1"/>
    </xf>
    <xf numFmtId="0" fontId="11" fillId="4" borderId="27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1" fillId="0" borderId="34" xfId="2" applyFont="1" applyFill="1" applyBorder="1" applyAlignment="1">
      <alignment horizontal="center" vertical="center" wrapText="1"/>
    </xf>
    <xf numFmtId="0" fontId="11" fillId="0" borderId="25" xfId="2" applyFont="1" applyFill="1" applyBorder="1" applyAlignment="1">
      <alignment horizontal="center" vertical="center" wrapText="1"/>
    </xf>
    <xf numFmtId="168" fontId="11" fillId="0" borderId="25" xfId="2" applyNumberFormat="1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13" fillId="3" borderId="20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/>
    </xf>
    <xf numFmtId="169" fontId="11" fillId="0" borderId="3" xfId="2" applyNumberFormat="1" applyFont="1" applyFill="1" applyBorder="1" applyAlignment="1">
      <alignment horizontal="center" vertical="center"/>
    </xf>
    <xf numFmtId="169" fontId="9" fillId="0" borderId="3" xfId="2" applyNumberFormat="1" applyFont="1" applyFill="1" applyBorder="1" applyAlignment="1">
      <alignment horizontal="center" vertical="center"/>
    </xf>
    <xf numFmtId="14" fontId="11" fillId="2" borderId="16" xfId="2" applyNumberFormat="1" applyFont="1" applyFill="1" applyBorder="1" applyAlignment="1">
      <alignment horizontal="center" vertical="center"/>
    </xf>
    <xf numFmtId="14" fontId="11" fillId="2" borderId="37" xfId="2" applyNumberFormat="1" applyFont="1" applyFill="1" applyBorder="1" applyAlignment="1">
      <alignment horizontal="center" vertical="center"/>
    </xf>
    <xf numFmtId="14" fontId="11" fillId="2" borderId="18" xfId="2" applyNumberFormat="1" applyFont="1" applyFill="1" applyBorder="1" applyAlignment="1">
      <alignment horizontal="center" vertical="center"/>
    </xf>
    <xf numFmtId="0" fontId="11" fillId="2" borderId="3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68" fontId="11" fillId="0" borderId="2" xfId="2" applyNumberFormat="1" applyFont="1" applyFill="1" applyBorder="1" applyAlignment="1">
      <alignment horizontal="center" vertical="center"/>
    </xf>
    <xf numFmtId="168" fontId="11" fillId="0" borderId="8" xfId="2" applyNumberFormat="1" applyFont="1" applyFill="1" applyBorder="1" applyAlignment="1">
      <alignment horizontal="center" vertical="center"/>
    </xf>
    <xf numFmtId="168" fontId="11" fillId="0" borderId="1" xfId="2" applyNumberFormat="1" applyFont="1" applyFill="1" applyBorder="1" applyAlignment="1">
      <alignment horizontal="center" vertical="center"/>
    </xf>
    <xf numFmtId="168" fontId="11" fillId="0" borderId="3" xfId="2" applyNumberFormat="1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 wrapText="1"/>
    </xf>
    <xf numFmtId="0" fontId="15" fillId="3" borderId="24" xfId="2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165" fontId="13" fillId="3" borderId="2" xfId="2" applyNumberFormat="1" applyFont="1" applyFill="1" applyBorder="1" applyAlignment="1">
      <alignment horizontal="center" vertical="center" wrapText="1"/>
    </xf>
    <xf numFmtId="165" fontId="15" fillId="3" borderId="1" xfId="2" applyNumberFormat="1" applyFont="1" applyFill="1" applyBorder="1" applyAlignment="1">
      <alignment horizontal="center" vertical="center" wrapText="1"/>
    </xf>
    <xf numFmtId="0" fontId="13" fillId="3" borderId="25" xfId="2" applyFont="1" applyFill="1" applyBorder="1" applyAlignment="1">
      <alignment horizontal="center" vertical="center" wrapText="1"/>
    </xf>
    <xf numFmtId="0" fontId="13" fillId="3" borderId="26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1" fillId="0" borderId="23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168" fontId="11" fillId="0" borderId="10" xfId="2" applyNumberFormat="1" applyFont="1" applyFill="1" applyBorder="1" applyAlignment="1">
      <alignment horizontal="center" vertical="center"/>
    </xf>
    <xf numFmtId="0" fontId="13" fillId="3" borderId="21" xfId="2" applyFont="1" applyFill="1" applyBorder="1" applyAlignment="1">
      <alignment horizontal="center"/>
    </xf>
    <xf numFmtId="0" fontId="13" fillId="3" borderId="4" xfId="2" applyFont="1" applyFill="1" applyBorder="1" applyAlignment="1">
      <alignment horizontal="center"/>
    </xf>
    <xf numFmtId="0" fontId="15" fillId="3" borderId="4" xfId="2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166" fontId="11" fillId="0" borderId="2" xfId="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8" fontId="9" fillId="0" borderId="3" xfId="0" applyNumberFormat="1" applyFont="1" applyBorder="1" applyAlignment="1">
      <alignment horizontal="center" vertical="center" wrapText="1"/>
    </xf>
    <xf numFmtId="166" fontId="11" fillId="0" borderId="26" xfId="2" applyNumberFormat="1" applyFont="1" applyFill="1" applyBorder="1" applyAlignment="1">
      <alignment horizontal="center" vertical="center" wrapText="1"/>
    </xf>
    <xf numFmtId="0" fontId="13" fillId="3" borderId="38" xfId="2" applyFont="1" applyFill="1" applyBorder="1" applyAlignment="1">
      <alignment horizontal="center" vertical="center" wrapText="1"/>
    </xf>
    <xf numFmtId="0" fontId="14" fillId="3" borderId="38" xfId="2" applyFont="1" applyFill="1" applyBorder="1" applyAlignment="1">
      <alignment horizontal="center" vertical="center" wrapText="1"/>
    </xf>
  </cellXfs>
  <cellStyles count="6">
    <cellStyle name="0,0_x000d__x000a_NA_x000d__x000a_" xfId="1"/>
    <cellStyle name="Normal" xfId="0" builtinId="0"/>
    <cellStyle name="Normal_test q4_4" xfId="3"/>
    <cellStyle name="표준 2" xfId="5"/>
    <cellStyle name="표준 3" xfId="4"/>
    <cellStyle name="표준_MDIN240_compositiontable_090226" xfId="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3</xdr:col>
      <xdr:colOff>444500</xdr:colOff>
      <xdr:row>0</xdr:row>
      <xdr:rowOff>628650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1701800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13</xdr:row>
          <xdr:rowOff>146050</xdr:rowOff>
        </xdr:from>
        <xdr:to>
          <xdr:col>13</xdr:col>
          <xdr:colOff>641350</xdr:colOff>
          <xdr:row>15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27</xdr:row>
          <xdr:rowOff>31750</xdr:rowOff>
        </xdr:from>
        <xdr:to>
          <xdr:col>13</xdr:col>
          <xdr:colOff>641350</xdr:colOff>
          <xdr:row>28</xdr:row>
          <xdr:rowOff>190500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22</xdr:row>
          <xdr:rowOff>12700</xdr:rowOff>
        </xdr:from>
        <xdr:to>
          <xdr:col>13</xdr:col>
          <xdr:colOff>622300</xdr:colOff>
          <xdr:row>23</xdr:row>
          <xdr:rowOff>165100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37</xdr:row>
          <xdr:rowOff>50800</xdr:rowOff>
        </xdr:from>
        <xdr:to>
          <xdr:col>13</xdr:col>
          <xdr:colOff>641350</xdr:colOff>
          <xdr:row>39</xdr:row>
          <xdr:rowOff>12700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32</xdr:row>
          <xdr:rowOff>31750</xdr:rowOff>
        </xdr:from>
        <xdr:to>
          <xdr:col>13</xdr:col>
          <xdr:colOff>622300</xdr:colOff>
          <xdr:row>33</xdr:row>
          <xdr:rowOff>184150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51</xdr:row>
          <xdr:rowOff>12700</xdr:rowOff>
        </xdr:from>
        <xdr:to>
          <xdr:col>13</xdr:col>
          <xdr:colOff>590550</xdr:colOff>
          <xdr:row>52</xdr:row>
          <xdr:rowOff>171450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44</xdr:row>
          <xdr:rowOff>190500</xdr:rowOff>
        </xdr:from>
        <xdr:to>
          <xdr:col>13</xdr:col>
          <xdr:colOff>641350</xdr:colOff>
          <xdr:row>47</xdr:row>
          <xdr:rowOff>19050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61</xdr:row>
          <xdr:rowOff>133350</xdr:rowOff>
        </xdr:from>
        <xdr:to>
          <xdr:col>13</xdr:col>
          <xdr:colOff>571500</xdr:colOff>
          <xdr:row>63</xdr:row>
          <xdr:rowOff>127000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71</xdr:row>
          <xdr:rowOff>19050</xdr:rowOff>
        </xdr:from>
        <xdr:to>
          <xdr:col>13</xdr:col>
          <xdr:colOff>476250</xdr:colOff>
          <xdr:row>71</xdr:row>
          <xdr:rowOff>184150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72</xdr:row>
          <xdr:rowOff>12700</xdr:rowOff>
        </xdr:from>
        <xdr:to>
          <xdr:col>13</xdr:col>
          <xdr:colOff>488950</xdr:colOff>
          <xdr:row>72</xdr:row>
          <xdr:rowOff>190500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203200</xdr:colOff>
          <xdr:row>73</xdr:row>
          <xdr:rowOff>171450</xdr:rowOff>
        </xdr:from>
        <xdr:to>
          <xdr:col>13</xdr:col>
          <xdr:colOff>514350</xdr:colOff>
          <xdr:row>75</xdr:row>
          <xdr:rowOff>88900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40</xdr:row>
          <xdr:rowOff>38100</xdr:rowOff>
        </xdr:from>
        <xdr:to>
          <xdr:col>13</xdr:col>
          <xdr:colOff>571500</xdr:colOff>
          <xdr:row>41</xdr:row>
          <xdr:rowOff>171450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10</xdr:row>
          <xdr:rowOff>133350</xdr:rowOff>
        </xdr:from>
        <xdr:to>
          <xdr:col>12</xdr:col>
          <xdr:colOff>698500</xdr:colOff>
          <xdr:row>13</xdr:row>
          <xdr:rowOff>69850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26</xdr:row>
          <xdr:rowOff>88900</xdr:rowOff>
        </xdr:from>
        <xdr:to>
          <xdr:col>12</xdr:col>
          <xdr:colOff>603250</xdr:colOff>
          <xdr:row>28</xdr:row>
          <xdr:rowOff>88900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36</xdr:row>
          <xdr:rowOff>57150</xdr:rowOff>
        </xdr:from>
        <xdr:to>
          <xdr:col>12</xdr:col>
          <xdr:colOff>609600</xdr:colOff>
          <xdr:row>38</xdr:row>
          <xdr:rowOff>57150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40</xdr:row>
          <xdr:rowOff>114300</xdr:rowOff>
        </xdr:from>
        <xdr:to>
          <xdr:col>12</xdr:col>
          <xdr:colOff>628650</xdr:colOff>
          <xdr:row>42</xdr:row>
          <xdr:rowOff>95250</xdr:rowOff>
        </xdr:to>
        <xdr:sp macro="" textlink="">
          <xdr:nvSpPr>
            <xdr:cNvPr id="1118" name="Object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43</xdr:row>
          <xdr:rowOff>127000</xdr:rowOff>
        </xdr:from>
        <xdr:to>
          <xdr:col>12</xdr:col>
          <xdr:colOff>628650</xdr:colOff>
          <xdr:row>45</xdr:row>
          <xdr:rowOff>69850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61</xdr:row>
          <xdr:rowOff>146050</xdr:rowOff>
        </xdr:from>
        <xdr:to>
          <xdr:col>12</xdr:col>
          <xdr:colOff>628650</xdr:colOff>
          <xdr:row>63</xdr:row>
          <xdr:rowOff>19050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</xdr:colOff>
          <xdr:row>51</xdr:row>
          <xdr:rowOff>76200</xdr:rowOff>
        </xdr:from>
        <xdr:to>
          <xdr:col>12</xdr:col>
          <xdr:colOff>552450</xdr:colOff>
          <xdr:row>52</xdr:row>
          <xdr:rowOff>133350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70</xdr:row>
          <xdr:rowOff>171450</xdr:rowOff>
        </xdr:from>
        <xdr:to>
          <xdr:col>12</xdr:col>
          <xdr:colOff>488950</xdr:colOff>
          <xdr:row>71</xdr:row>
          <xdr:rowOff>133350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71</xdr:row>
          <xdr:rowOff>165100</xdr:rowOff>
        </xdr:from>
        <xdr:to>
          <xdr:col>12</xdr:col>
          <xdr:colOff>508000</xdr:colOff>
          <xdr:row>72</xdr:row>
          <xdr:rowOff>152400</xdr:rowOff>
        </xdr:to>
        <xdr:sp macro="" textlink="">
          <xdr:nvSpPr>
            <xdr:cNvPr id="1123" name="Object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74</xdr:row>
          <xdr:rowOff>12700</xdr:rowOff>
        </xdr:from>
        <xdr:to>
          <xdr:col>12</xdr:col>
          <xdr:colOff>565150</xdr:colOff>
          <xdr:row>75</xdr:row>
          <xdr:rowOff>127000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</xdr:colOff>
          <xdr:row>20</xdr:row>
          <xdr:rowOff>38100</xdr:rowOff>
        </xdr:from>
        <xdr:to>
          <xdr:col>12</xdr:col>
          <xdr:colOff>628650</xdr:colOff>
          <xdr:row>22</xdr:row>
          <xdr:rowOff>38100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22</xdr:row>
          <xdr:rowOff>133350</xdr:rowOff>
        </xdr:from>
        <xdr:to>
          <xdr:col>12</xdr:col>
          <xdr:colOff>641350</xdr:colOff>
          <xdr:row>24</xdr:row>
          <xdr:rowOff>146050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</xdr:colOff>
          <xdr:row>30</xdr:row>
          <xdr:rowOff>38100</xdr:rowOff>
        </xdr:from>
        <xdr:to>
          <xdr:col>12</xdr:col>
          <xdr:colOff>628650</xdr:colOff>
          <xdr:row>32</xdr:row>
          <xdr:rowOff>38100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133350</xdr:rowOff>
        </xdr:from>
        <xdr:to>
          <xdr:col>12</xdr:col>
          <xdr:colOff>641350</xdr:colOff>
          <xdr:row>34</xdr:row>
          <xdr:rowOff>146050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emf"/><Relationship Id="rId18" Type="http://schemas.openxmlformats.org/officeDocument/2006/relationships/oleObject" Target="../embeddings/oleObject9.bin"/><Relationship Id="rId26" Type="http://schemas.openxmlformats.org/officeDocument/2006/relationships/oleObject" Target="../embeddings/oleObject13.bin"/><Relationship Id="rId39" Type="http://schemas.openxmlformats.org/officeDocument/2006/relationships/oleObject" Target="../embeddings/oleObject20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8.emf"/><Relationship Id="rId34" Type="http://schemas.openxmlformats.org/officeDocument/2006/relationships/image" Target="../media/image14.emf"/><Relationship Id="rId42" Type="http://schemas.openxmlformats.org/officeDocument/2006/relationships/image" Target="../media/image18.emf"/><Relationship Id="rId47" Type="http://schemas.openxmlformats.org/officeDocument/2006/relationships/oleObject" Target="../embeddings/oleObject24.bin"/><Relationship Id="rId50" Type="http://schemas.openxmlformats.org/officeDocument/2006/relationships/oleObject" Target="../embeddings/oleObject2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6.emf"/><Relationship Id="rId25" Type="http://schemas.openxmlformats.org/officeDocument/2006/relationships/image" Target="../media/image10.emf"/><Relationship Id="rId33" Type="http://schemas.openxmlformats.org/officeDocument/2006/relationships/oleObject" Target="../embeddings/oleObject17.bin"/><Relationship Id="rId38" Type="http://schemas.openxmlformats.org/officeDocument/2006/relationships/image" Target="../media/image16.emf"/><Relationship Id="rId46" Type="http://schemas.openxmlformats.org/officeDocument/2006/relationships/image" Target="../media/image20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20" Type="http://schemas.openxmlformats.org/officeDocument/2006/relationships/oleObject" Target="../embeddings/oleObject10.bin"/><Relationship Id="rId29" Type="http://schemas.openxmlformats.org/officeDocument/2006/relationships/image" Target="../media/image12.emf"/><Relationship Id="rId41" Type="http://schemas.openxmlformats.org/officeDocument/2006/relationships/oleObject" Target="../embeddings/oleObject21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24" Type="http://schemas.openxmlformats.org/officeDocument/2006/relationships/oleObject" Target="../embeddings/oleObject12.bin"/><Relationship Id="rId32" Type="http://schemas.openxmlformats.org/officeDocument/2006/relationships/image" Target="../media/image13.emf"/><Relationship Id="rId37" Type="http://schemas.openxmlformats.org/officeDocument/2006/relationships/oleObject" Target="../embeddings/oleObject19.bin"/><Relationship Id="rId40" Type="http://schemas.openxmlformats.org/officeDocument/2006/relationships/image" Target="../media/image17.emf"/><Relationship Id="rId45" Type="http://schemas.openxmlformats.org/officeDocument/2006/relationships/oleObject" Target="../embeddings/oleObject23.bin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image" Target="../media/image9.emf"/><Relationship Id="rId28" Type="http://schemas.openxmlformats.org/officeDocument/2006/relationships/oleObject" Target="../embeddings/oleObject14.bin"/><Relationship Id="rId36" Type="http://schemas.openxmlformats.org/officeDocument/2006/relationships/image" Target="../media/image15.emf"/><Relationship Id="rId49" Type="http://schemas.openxmlformats.org/officeDocument/2006/relationships/oleObject" Target="../embeddings/oleObject25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7.emf"/><Relationship Id="rId31" Type="http://schemas.openxmlformats.org/officeDocument/2006/relationships/oleObject" Target="../embeddings/oleObject16.bin"/><Relationship Id="rId44" Type="http://schemas.openxmlformats.org/officeDocument/2006/relationships/image" Target="../media/image19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7.bin"/><Relationship Id="rId22" Type="http://schemas.openxmlformats.org/officeDocument/2006/relationships/oleObject" Target="../embeddings/oleObject11.bin"/><Relationship Id="rId27" Type="http://schemas.openxmlformats.org/officeDocument/2006/relationships/image" Target="../media/image11.emf"/><Relationship Id="rId30" Type="http://schemas.openxmlformats.org/officeDocument/2006/relationships/oleObject" Target="../embeddings/oleObject15.bin"/><Relationship Id="rId35" Type="http://schemas.openxmlformats.org/officeDocument/2006/relationships/oleObject" Target="../embeddings/oleObject18.bin"/><Relationship Id="rId43" Type="http://schemas.openxmlformats.org/officeDocument/2006/relationships/oleObject" Target="../embeddings/oleObject22.bin"/><Relationship Id="rId48" Type="http://schemas.openxmlformats.org/officeDocument/2006/relationships/image" Target="../media/image21.emf"/><Relationship Id="rId8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79"/>
  <sheetViews>
    <sheetView showGridLines="0" tabSelected="1" workbookViewId="0">
      <selection activeCell="J3" sqref="J3:L3"/>
    </sheetView>
  </sheetViews>
  <sheetFormatPr defaultColWidth="8.90625" defaultRowHeight="14.5"/>
  <cols>
    <col min="1" max="1" width="2.36328125" style="1" customWidth="1"/>
    <col min="2" max="2" width="3.453125" style="1" customWidth="1"/>
    <col min="3" max="3" width="12.1796875" style="1" bestFit="1" customWidth="1"/>
    <col min="4" max="4" width="18.08984375" style="1" bestFit="1" customWidth="1"/>
    <col min="5" max="5" width="13.453125" style="1" bestFit="1" customWidth="1"/>
    <col min="6" max="6" width="9.36328125" style="1" customWidth="1"/>
    <col min="7" max="7" width="33.453125" style="1" customWidth="1"/>
    <col min="8" max="8" width="24.81640625" style="1" customWidth="1"/>
    <col min="9" max="9" width="9.81640625" style="1" customWidth="1"/>
    <col min="10" max="10" width="8.90625" style="1"/>
    <col min="11" max="11" width="10.453125" style="1" customWidth="1"/>
    <col min="12" max="12" width="10.6328125" style="1" customWidth="1"/>
    <col min="13" max="13" width="9.1796875" style="1" customWidth="1"/>
    <col min="14" max="14" width="10.90625" style="1" customWidth="1"/>
    <col min="15" max="16384" width="8.90625" style="1"/>
  </cols>
  <sheetData>
    <row r="1" spans="2:14" ht="53.5" customHeight="1"/>
    <row r="2" spans="2:14" ht="15" thickBot="1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4">
      <c r="B3" s="121" t="s">
        <v>8</v>
      </c>
      <c r="C3" s="122"/>
      <c r="D3" s="123"/>
      <c r="E3" s="124" t="s">
        <v>101</v>
      </c>
      <c r="F3" s="124"/>
      <c r="G3" s="7" t="s">
        <v>1</v>
      </c>
      <c r="H3" s="8" t="s">
        <v>133</v>
      </c>
      <c r="I3" s="9" t="s">
        <v>9</v>
      </c>
      <c r="J3" s="130" t="s">
        <v>150</v>
      </c>
      <c r="K3" s="131"/>
      <c r="L3" s="132"/>
    </row>
    <row r="4" spans="2:14" ht="15" thickBot="1">
      <c r="B4" s="125" t="s">
        <v>58</v>
      </c>
      <c r="C4" s="126"/>
      <c r="D4" s="127"/>
      <c r="E4" s="128">
        <f>F77</f>
        <v>0.25758999999999999</v>
      </c>
      <c r="F4" s="129"/>
      <c r="G4" s="10" t="s">
        <v>2</v>
      </c>
      <c r="H4" s="11" t="s">
        <v>10</v>
      </c>
      <c r="I4" s="12" t="s">
        <v>51</v>
      </c>
      <c r="J4" s="133" t="s">
        <v>84</v>
      </c>
      <c r="K4" s="134"/>
      <c r="L4" s="135"/>
    </row>
    <row r="5" spans="2:14" ht="15" thickBot="1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4" ht="13.75" customHeight="1" thickBot="1">
      <c r="B6" s="150" t="s">
        <v>3</v>
      </c>
      <c r="C6" s="156" t="s">
        <v>59</v>
      </c>
      <c r="D6" s="136" t="s">
        <v>4</v>
      </c>
      <c r="E6" s="136" t="s">
        <v>5</v>
      </c>
      <c r="F6" s="136" t="s">
        <v>12</v>
      </c>
      <c r="G6" s="136" t="s">
        <v>13</v>
      </c>
      <c r="H6" s="136" t="s">
        <v>6</v>
      </c>
      <c r="I6" s="154" t="s">
        <v>14</v>
      </c>
      <c r="J6" s="136" t="s">
        <v>15</v>
      </c>
      <c r="K6" s="136" t="s">
        <v>16</v>
      </c>
      <c r="L6" s="138" t="s">
        <v>17</v>
      </c>
      <c r="M6" s="171" t="s">
        <v>148</v>
      </c>
      <c r="N6" s="171" t="s">
        <v>149</v>
      </c>
    </row>
    <row r="7" spans="2:14" ht="15" thickBot="1">
      <c r="B7" s="151"/>
      <c r="C7" s="157"/>
      <c r="D7" s="152"/>
      <c r="E7" s="152"/>
      <c r="F7" s="137"/>
      <c r="G7" s="153"/>
      <c r="H7" s="152"/>
      <c r="I7" s="155"/>
      <c r="J7" s="137"/>
      <c r="K7" s="137"/>
      <c r="L7" s="139"/>
      <c r="M7" s="172"/>
      <c r="N7" s="172"/>
    </row>
    <row r="8" spans="2:14" ht="15" thickBot="1">
      <c r="B8" s="151"/>
      <c r="C8" s="158"/>
      <c r="D8" s="152"/>
      <c r="E8" s="152"/>
      <c r="F8" s="137"/>
      <c r="G8" s="153"/>
      <c r="H8" s="152"/>
      <c r="I8" s="155"/>
      <c r="J8" s="137"/>
      <c r="K8" s="137"/>
      <c r="L8" s="139"/>
      <c r="M8" s="172"/>
      <c r="N8" s="172"/>
    </row>
    <row r="9" spans="2:14" ht="15" thickBot="1">
      <c r="B9" s="14">
        <v>1</v>
      </c>
      <c r="C9" s="15" t="s">
        <v>102</v>
      </c>
      <c r="D9" s="16" t="s">
        <v>85</v>
      </c>
      <c r="E9" s="16" t="s">
        <v>48</v>
      </c>
      <c r="F9" s="17">
        <v>5.2500000000000003E-3</v>
      </c>
      <c r="G9" s="16" t="s">
        <v>18</v>
      </c>
      <c r="H9" s="16" t="s">
        <v>19</v>
      </c>
      <c r="I9" s="68">
        <f>F9</f>
        <v>5.2500000000000003E-3</v>
      </c>
      <c r="J9" s="18">
        <f>I9/F$9</f>
        <v>1</v>
      </c>
      <c r="K9" s="19">
        <f t="shared" ref="K9:K54" si="0">I9/$F$77</f>
        <v>2.0381225979269384E-2</v>
      </c>
      <c r="L9" s="20">
        <f>K9*1000000</f>
        <v>20381.225979269384</v>
      </c>
      <c r="M9" s="93"/>
      <c r="N9" s="93"/>
    </row>
    <row r="10" spans="2:14" ht="15" thickBot="1">
      <c r="B10" s="61">
        <v>2</v>
      </c>
      <c r="C10" s="62" t="s">
        <v>103</v>
      </c>
      <c r="D10" s="63" t="s">
        <v>86</v>
      </c>
      <c r="E10" s="63" t="s">
        <v>48</v>
      </c>
      <c r="F10" s="64">
        <v>3.16E-3</v>
      </c>
      <c r="G10" s="63" t="s">
        <v>18</v>
      </c>
      <c r="H10" s="63" t="s">
        <v>19</v>
      </c>
      <c r="I10" s="69">
        <f>F10</f>
        <v>3.16E-3</v>
      </c>
      <c r="J10" s="65">
        <f>I10/$F$10</f>
        <v>1</v>
      </c>
      <c r="K10" s="66">
        <f t="shared" si="0"/>
        <v>1.2267556970379286E-2</v>
      </c>
      <c r="L10" s="67">
        <f>K10*1000000</f>
        <v>12267.556970379286</v>
      </c>
      <c r="M10" s="93"/>
      <c r="N10" s="93"/>
    </row>
    <row r="11" spans="2:14" ht="13.75" customHeight="1">
      <c r="B11" s="114">
        <v>3</v>
      </c>
      <c r="C11" s="119" t="s">
        <v>60</v>
      </c>
      <c r="D11" s="116" t="s">
        <v>88</v>
      </c>
      <c r="E11" s="116" t="s">
        <v>87</v>
      </c>
      <c r="F11" s="146">
        <v>2.2100000000000002E-3</v>
      </c>
      <c r="G11" s="81" t="s">
        <v>61</v>
      </c>
      <c r="H11" s="81" t="s">
        <v>63</v>
      </c>
      <c r="I11" s="70">
        <f>F$11*0.76</f>
        <v>1.6796000000000001E-3</v>
      </c>
      <c r="J11" s="22">
        <f>I11/F$11</f>
        <v>0.76</v>
      </c>
      <c r="K11" s="23">
        <f t="shared" si="0"/>
        <v>6.5204394580534964E-3</v>
      </c>
      <c r="L11" s="24">
        <f>K11*1000000</f>
        <v>6520.4394580534963</v>
      </c>
      <c r="M11" s="96"/>
      <c r="N11" s="99"/>
    </row>
    <row r="12" spans="2:14" ht="13.75" customHeight="1">
      <c r="B12" s="140"/>
      <c r="C12" s="104"/>
      <c r="D12" s="143"/>
      <c r="E12" s="143"/>
      <c r="F12" s="147"/>
      <c r="G12" s="82" t="s">
        <v>62</v>
      </c>
      <c r="H12" s="83" t="s">
        <v>11</v>
      </c>
      <c r="I12" s="71">
        <f>F$11*0.15</f>
        <v>3.3150000000000003E-4</v>
      </c>
      <c r="J12" s="27">
        <f t="shared" ref="J12" si="1">I12/F$11</f>
        <v>0.15</v>
      </c>
      <c r="K12" s="28">
        <f t="shared" si="0"/>
        <v>1.2869288404052954E-3</v>
      </c>
      <c r="L12" s="29">
        <f t="shared" ref="L12:L13" si="2">K12*1000000</f>
        <v>1286.9288404052954</v>
      </c>
      <c r="M12" s="97"/>
      <c r="N12" s="100"/>
    </row>
    <row r="13" spans="2:14" ht="13.75" customHeight="1">
      <c r="B13" s="140"/>
      <c r="C13" s="104"/>
      <c r="D13" s="143"/>
      <c r="E13" s="143"/>
      <c r="F13" s="147"/>
      <c r="G13" s="82" t="s">
        <v>83</v>
      </c>
      <c r="H13" s="83" t="s">
        <v>11</v>
      </c>
      <c r="I13" s="71">
        <f>F$11*0.03</f>
        <v>6.6299999999999999E-5</v>
      </c>
      <c r="J13" s="27">
        <f>I13/F$11</f>
        <v>0.03</v>
      </c>
      <c r="K13" s="28">
        <f t="shared" si="0"/>
        <v>2.5738576808105904E-4</v>
      </c>
      <c r="L13" s="29">
        <f t="shared" si="2"/>
        <v>257.38576808105904</v>
      </c>
      <c r="M13" s="97"/>
      <c r="N13" s="100"/>
    </row>
    <row r="14" spans="2:14">
      <c r="B14" s="141"/>
      <c r="C14" s="104"/>
      <c r="D14" s="144"/>
      <c r="E14" s="144"/>
      <c r="F14" s="148"/>
      <c r="G14" s="83" t="s">
        <v>90</v>
      </c>
      <c r="H14" s="83" t="s">
        <v>11</v>
      </c>
      <c r="I14" s="71">
        <f>F$11*0.03</f>
        <v>6.6299999999999999E-5</v>
      </c>
      <c r="J14" s="27">
        <f>I14/F$11</f>
        <v>0.03</v>
      </c>
      <c r="K14" s="28">
        <f t="shared" si="0"/>
        <v>2.5738576808105904E-4</v>
      </c>
      <c r="L14" s="29">
        <f t="shared" ref="L14:L73" si="3">K14*1000000</f>
        <v>257.38576808105904</v>
      </c>
      <c r="M14" s="97"/>
      <c r="N14" s="100"/>
    </row>
    <row r="15" spans="2:14" ht="15" thickBot="1">
      <c r="B15" s="142"/>
      <c r="C15" s="105"/>
      <c r="D15" s="145"/>
      <c r="E15" s="145"/>
      <c r="F15" s="149"/>
      <c r="G15" s="85" t="s">
        <v>91</v>
      </c>
      <c r="H15" s="85" t="s">
        <v>64</v>
      </c>
      <c r="I15" s="72">
        <f>F$11*0.03</f>
        <v>6.6299999999999999E-5</v>
      </c>
      <c r="J15" s="31">
        <f>I15/F$11</f>
        <v>0.03</v>
      </c>
      <c r="K15" s="32">
        <f t="shared" si="0"/>
        <v>2.5738576808105904E-4</v>
      </c>
      <c r="L15" s="33">
        <f t="shared" si="3"/>
        <v>257.38576808105904</v>
      </c>
      <c r="M15" s="97"/>
      <c r="N15" s="100"/>
    </row>
    <row r="16" spans="2:14" ht="13.75" customHeight="1">
      <c r="B16" s="140">
        <v>4</v>
      </c>
      <c r="C16" s="104" t="s">
        <v>60</v>
      </c>
      <c r="D16" s="143" t="s">
        <v>89</v>
      </c>
      <c r="E16" s="143" t="s">
        <v>87</v>
      </c>
      <c r="F16" s="147">
        <v>1.4400000000000001E-3</v>
      </c>
      <c r="G16" s="82" t="s">
        <v>55</v>
      </c>
      <c r="H16" s="82" t="s">
        <v>53</v>
      </c>
      <c r="I16" s="73">
        <f>$F$16*0.76</f>
        <v>1.0944000000000001E-3</v>
      </c>
      <c r="J16" s="36">
        <f>I16/$F$16</f>
        <v>0.76</v>
      </c>
      <c r="K16" s="37">
        <f t="shared" si="0"/>
        <v>4.2486121355642696E-3</v>
      </c>
      <c r="L16" s="38">
        <f>K16*1000000</f>
        <v>4248.6121355642699</v>
      </c>
      <c r="M16" s="97"/>
      <c r="N16" s="100"/>
    </row>
    <row r="17" spans="2:14" ht="13.75" customHeight="1">
      <c r="B17" s="140"/>
      <c r="C17" s="104"/>
      <c r="D17" s="143"/>
      <c r="E17" s="143"/>
      <c r="F17" s="147"/>
      <c r="G17" s="82" t="s">
        <v>62</v>
      </c>
      <c r="H17" s="83" t="s">
        <v>11</v>
      </c>
      <c r="I17" s="71">
        <f>F16*0.15</f>
        <v>2.1600000000000002E-4</v>
      </c>
      <c r="J17" s="27">
        <f>I17/$F$16</f>
        <v>0.15</v>
      </c>
      <c r="K17" s="28">
        <f t="shared" si="0"/>
        <v>8.3854186886136897E-4</v>
      </c>
      <c r="L17" s="29">
        <f t="shared" ref="L17:L18" si="4">K17*1000000</f>
        <v>838.54186886136893</v>
      </c>
      <c r="M17" s="97"/>
      <c r="N17" s="100"/>
    </row>
    <row r="18" spans="2:14" ht="13.75" customHeight="1">
      <c r="B18" s="140"/>
      <c r="C18" s="104"/>
      <c r="D18" s="143"/>
      <c r="E18" s="143"/>
      <c r="F18" s="147"/>
      <c r="G18" s="82" t="s">
        <v>83</v>
      </c>
      <c r="H18" s="83" t="s">
        <v>11</v>
      </c>
      <c r="I18" s="71">
        <f>F16*0.03</f>
        <v>4.32E-5</v>
      </c>
      <c r="J18" s="27">
        <f>I18/$F$16</f>
        <v>0.03</v>
      </c>
      <c r="K18" s="28">
        <f t="shared" si="0"/>
        <v>1.6770837377227377E-4</v>
      </c>
      <c r="L18" s="29">
        <f t="shared" si="4"/>
        <v>167.70837377227377</v>
      </c>
      <c r="M18" s="97"/>
      <c r="N18" s="100"/>
    </row>
    <row r="19" spans="2:14">
      <c r="B19" s="141"/>
      <c r="C19" s="104"/>
      <c r="D19" s="144"/>
      <c r="E19" s="144"/>
      <c r="F19" s="148"/>
      <c r="G19" s="83" t="s">
        <v>90</v>
      </c>
      <c r="H19" s="83" t="s">
        <v>11</v>
      </c>
      <c r="I19" s="71">
        <f>F16*0.03</f>
        <v>4.32E-5</v>
      </c>
      <c r="J19" s="27">
        <f>I19/$F$16</f>
        <v>0.03</v>
      </c>
      <c r="K19" s="28">
        <f t="shared" si="0"/>
        <v>1.6770837377227377E-4</v>
      </c>
      <c r="L19" s="29">
        <f t="shared" ref="L19:L26" si="5">K19*1000000</f>
        <v>167.70837377227377</v>
      </c>
      <c r="M19" s="97"/>
      <c r="N19" s="100"/>
    </row>
    <row r="20" spans="2:14" ht="15" thickBot="1">
      <c r="B20" s="142"/>
      <c r="C20" s="105"/>
      <c r="D20" s="145"/>
      <c r="E20" s="145"/>
      <c r="F20" s="149"/>
      <c r="G20" s="85" t="s">
        <v>91</v>
      </c>
      <c r="H20" s="85" t="s">
        <v>11</v>
      </c>
      <c r="I20" s="72">
        <f>F16*0.03</f>
        <v>4.32E-5</v>
      </c>
      <c r="J20" s="31">
        <f>I20/$F$16</f>
        <v>0.03</v>
      </c>
      <c r="K20" s="32">
        <f t="shared" si="0"/>
        <v>1.6770837377227377E-4</v>
      </c>
      <c r="L20" s="33">
        <f t="shared" si="5"/>
        <v>167.70837377227377</v>
      </c>
      <c r="M20" s="98"/>
      <c r="N20" s="101"/>
    </row>
    <row r="21" spans="2:14">
      <c r="B21" s="118">
        <v>5</v>
      </c>
      <c r="C21" s="119" t="s">
        <v>121</v>
      </c>
      <c r="D21" s="119" t="s">
        <v>122</v>
      </c>
      <c r="E21" s="119" t="s">
        <v>130</v>
      </c>
      <c r="F21" s="120">
        <v>1.6000000000000001E-3</v>
      </c>
      <c r="G21" s="81" t="s">
        <v>113</v>
      </c>
      <c r="H21" s="81" t="s">
        <v>118</v>
      </c>
      <c r="I21" s="70">
        <f>F21*0.66</f>
        <v>1.0560000000000001E-3</v>
      </c>
      <c r="J21" s="22">
        <f>I21/$F$21</f>
        <v>0.66</v>
      </c>
      <c r="K21" s="22">
        <f t="shared" si="0"/>
        <v>4.0995380255444708E-3</v>
      </c>
      <c r="L21" s="24">
        <f t="shared" si="5"/>
        <v>4099.5380255444707</v>
      </c>
      <c r="M21" s="96"/>
      <c r="N21" s="96"/>
    </row>
    <row r="22" spans="2:14">
      <c r="B22" s="102"/>
      <c r="C22" s="104"/>
      <c r="D22" s="104"/>
      <c r="E22" s="104"/>
      <c r="F22" s="106"/>
      <c r="G22" s="82" t="s">
        <v>114</v>
      </c>
      <c r="H22" s="82" t="s">
        <v>119</v>
      </c>
      <c r="I22" s="73">
        <f>F21*0.233333</f>
        <v>3.7333280000000004E-4</v>
      </c>
      <c r="J22" s="27">
        <f t="shared" ref="J22:J25" si="6">I22/$F$21</f>
        <v>0.23333300000000001</v>
      </c>
      <c r="K22" s="27">
        <f t="shared" si="0"/>
        <v>1.4493295547187393E-3</v>
      </c>
      <c r="L22" s="29">
        <f t="shared" si="5"/>
        <v>1449.3295547187392</v>
      </c>
      <c r="M22" s="97"/>
      <c r="N22" s="97"/>
    </row>
    <row r="23" spans="2:14">
      <c r="B23" s="102"/>
      <c r="C23" s="104"/>
      <c r="D23" s="104"/>
      <c r="E23" s="104"/>
      <c r="F23" s="106"/>
      <c r="G23" s="82" t="s">
        <v>115</v>
      </c>
      <c r="H23" s="82" t="s">
        <v>120</v>
      </c>
      <c r="I23" s="73">
        <f>F21*0.026667</f>
        <v>4.2667200000000004E-5</v>
      </c>
      <c r="J23" s="27">
        <f t="shared" si="6"/>
        <v>2.6667E-2</v>
      </c>
      <c r="K23" s="27">
        <f t="shared" si="0"/>
        <v>1.6563997049574909E-4</v>
      </c>
      <c r="L23" s="29">
        <f t="shared" si="5"/>
        <v>165.63997049574908</v>
      </c>
      <c r="M23" s="97"/>
      <c r="N23" s="97"/>
    </row>
    <row r="24" spans="2:14">
      <c r="B24" s="102"/>
      <c r="C24" s="104"/>
      <c r="D24" s="104"/>
      <c r="E24" s="104"/>
      <c r="F24" s="106"/>
      <c r="G24" s="82" t="s">
        <v>116</v>
      </c>
      <c r="H24" s="82" t="s">
        <v>120</v>
      </c>
      <c r="I24" s="73">
        <f>F21*0.023333</f>
        <v>3.7332800000000003E-5</v>
      </c>
      <c r="J24" s="27">
        <f t="shared" si="6"/>
        <v>2.3333E-2</v>
      </c>
      <c r="K24" s="27">
        <f t="shared" si="0"/>
        <v>1.4493109204549869E-4</v>
      </c>
      <c r="L24" s="29">
        <f t="shared" si="5"/>
        <v>144.9310920454987</v>
      </c>
      <c r="M24" s="97"/>
      <c r="N24" s="97"/>
    </row>
    <row r="25" spans="2:14" ht="15" thickBot="1">
      <c r="B25" s="103"/>
      <c r="C25" s="105"/>
      <c r="D25" s="105"/>
      <c r="E25" s="105"/>
      <c r="F25" s="107"/>
      <c r="G25" s="84" t="s">
        <v>117</v>
      </c>
      <c r="H25" s="84" t="s">
        <v>110</v>
      </c>
      <c r="I25" s="86">
        <f>F21*0.056667</f>
        <v>9.0667200000000005E-5</v>
      </c>
      <c r="J25" s="31">
        <f t="shared" si="6"/>
        <v>5.6667000000000002E-2</v>
      </c>
      <c r="K25" s="31">
        <f t="shared" si="0"/>
        <v>3.5198260802049775E-4</v>
      </c>
      <c r="L25" s="33">
        <f t="shared" si="5"/>
        <v>351.98260802049776</v>
      </c>
      <c r="M25" s="98"/>
      <c r="N25" s="98"/>
    </row>
    <row r="26" spans="2:14">
      <c r="B26" s="102">
        <v>6</v>
      </c>
      <c r="C26" s="104" t="s">
        <v>124</v>
      </c>
      <c r="D26" s="104" t="s">
        <v>125</v>
      </c>
      <c r="E26" s="104" t="s">
        <v>126</v>
      </c>
      <c r="F26" s="106">
        <v>2.2000000000000001E-4</v>
      </c>
      <c r="G26" s="90" t="s">
        <v>142</v>
      </c>
      <c r="H26" s="82" t="s">
        <v>110</v>
      </c>
      <c r="I26" s="73">
        <f>$F$26*0.85</f>
        <v>1.8699999999999999E-4</v>
      </c>
      <c r="J26" s="36">
        <f>I26/$F$26</f>
        <v>0.85</v>
      </c>
      <c r="K26" s="37">
        <f t="shared" si="0"/>
        <v>7.2595985869016659E-4</v>
      </c>
      <c r="L26" s="38">
        <f t="shared" si="5"/>
        <v>725.95985869016658</v>
      </c>
      <c r="M26" s="96"/>
      <c r="N26" s="96"/>
    </row>
    <row r="27" spans="2:14">
      <c r="B27" s="102"/>
      <c r="C27" s="104"/>
      <c r="D27" s="104"/>
      <c r="E27" s="104"/>
      <c r="F27" s="106"/>
      <c r="G27" s="90" t="s">
        <v>143</v>
      </c>
      <c r="H27" s="82" t="s">
        <v>111</v>
      </c>
      <c r="I27" s="73">
        <f>$F$26*0.027</f>
        <v>5.9399999999999999E-6</v>
      </c>
      <c r="J27" s="36">
        <f>I27/$F$26</f>
        <v>2.7E-2</v>
      </c>
      <c r="K27" s="37">
        <f t="shared" si="0"/>
        <v>2.3059901393687645E-5</v>
      </c>
      <c r="L27" s="38">
        <f>K27*1000000</f>
        <v>23.059901393687646</v>
      </c>
      <c r="M27" s="97"/>
      <c r="N27" s="97"/>
    </row>
    <row r="28" spans="2:14">
      <c r="B28" s="102"/>
      <c r="C28" s="104"/>
      <c r="D28" s="104"/>
      <c r="E28" s="104"/>
      <c r="F28" s="106"/>
      <c r="G28" s="90" t="s">
        <v>144</v>
      </c>
      <c r="H28" s="82" t="s">
        <v>119</v>
      </c>
      <c r="I28" s="73">
        <f>$F$26*0.023</f>
        <v>5.0599999999999998E-6</v>
      </c>
      <c r="J28" s="36">
        <f t="shared" ref="J28:J30" si="7">I28/$F$26</f>
        <v>2.3E-2</v>
      </c>
      <c r="K28" s="37">
        <f t="shared" si="0"/>
        <v>1.9643619705733918E-5</v>
      </c>
      <c r="L28" s="38">
        <f>K28*1000000</f>
        <v>19.643619705733919</v>
      </c>
      <c r="M28" s="97"/>
      <c r="N28" s="97"/>
    </row>
    <row r="29" spans="2:14">
      <c r="B29" s="102"/>
      <c r="C29" s="104"/>
      <c r="D29" s="104"/>
      <c r="E29" s="104"/>
      <c r="F29" s="106"/>
      <c r="G29" s="82" t="s">
        <v>127</v>
      </c>
      <c r="H29" s="82" t="s">
        <v>129</v>
      </c>
      <c r="I29" s="73">
        <f>$F$26*0.05</f>
        <v>1.1000000000000001E-5</v>
      </c>
      <c r="J29" s="36">
        <f t="shared" si="7"/>
        <v>0.05</v>
      </c>
      <c r="K29" s="37">
        <f t="shared" si="0"/>
        <v>4.2703521099421569E-5</v>
      </c>
      <c r="L29" s="38">
        <f>K29*1000000</f>
        <v>42.703521099421572</v>
      </c>
      <c r="M29" s="97"/>
      <c r="N29" s="97"/>
    </row>
    <row r="30" spans="2:14" ht="15" thickBot="1">
      <c r="B30" s="103"/>
      <c r="C30" s="105"/>
      <c r="D30" s="105"/>
      <c r="E30" s="105"/>
      <c r="F30" s="107"/>
      <c r="G30" s="82" t="s">
        <v>128</v>
      </c>
      <c r="H30" s="82" t="s">
        <v>129</v>
      </c>
      <c r="I30" s="73">
        <f>$F$26*0.05</f>
        <v>1.1000000000000001E-5</v>
      </c>
      <c r="J30" s="36">
        <f t="shared" si="7"/>
        <v>0.05</v>
      </c>
      <c r="K30" s="37">
        <f t="shared" si="0"/>
        <v>4.2703521099421569E-5</v>
      </c>
      <c r="L30" s="38">
        <f>K30*1000000</f>
        <v>42.703521099421572</v>
      </c>
      <c r="M30" s="98"/>
      <c r="N30" s="98"/>
    </row>
    <row r="31" spans="2:14">
      <c r="B31" s="118">
        <v>7</v>
      </c>
      <c r="C31" s="119" t="s">
        <v>121</v>
      </c>
      <c r="D31" s="119" t="s">
        <v>131</v>
      </c>
      <c r="E31" s="119" t="s">
        <v>123</v>
      </c>
      <c r="F31" s="120">
        <v>2.97E-3</v>
      </c>
      <c r="G31" s="81" t="s">
        <v>113</v>
      </c>
      <c r="H31" s="81" t="s">
        <v>118</v>
      </c>
      <c r="I31" s="70">
        <f>$F$31*0.66</f>
        <v>1.9602E-3</v>
      </c>
      <c r="J31" s="22">
        <f>I31/$F$31</f>
        <v>0.66</v>
      </c>
      <c r="K31" s="22">
        <f t="shared" si="0"/>
        <v>7.609767459916923E-3</v>
      </c>
      <c r="L31" s="24">
        <f t="shared" ref="L31:L35" si="8">K31*1000000</f>
        <v>7609.7674599169231</v>
      </c>
      <c r="M31" s="96"/>
      <c r="N31" s="96"/>
    </row>
    <row r="32" spans="2:14">
      <c r="B32" s="102"/>
      <c r="C32" s="104"/>
      <c r="D32" s="104"/>
      <c r="E32" s="104"/>
      <c r="F32" s="106"/>
      <c r="G32" s="82" t="s">
        <v>114</v>
      </c>
      <c r="H32" s="82" t="s">
        <v>119</v>
      </c>
      <c r="I32" s="71">
        <f>$F$31*0.233333</f>
        <v>6.9299900999999998E-4</v>
      </c>
      <c r="J32" s="27">
        <f t="shared" ref="J32:J35" si="9">I32/$F$31</f>
        <v>0.23333299999999998</v>
      </c>
      <c r="K32" s="27">
        <f t="shared" si="0"/>
        <v>2.6903179859466596E-3</v>
      </c>
      <c r="L32" s="29">
        <f t="shared" si="8"/>
        <v>2690.3179859466595</v>
      </c>
      <c r="M32" s="97"/>
      <c r="N32" s="97"/>
    </row>
    <row r="33" spans="2:14">
      <c r="B33" s="102"/>
      <c r="C33" s="104"/>
      <c r="D33" s="104"/>
      <c r="E33" s="104"/>
      <c r="F33" s="106"/>
      <c r="G33" s="82" t="s">
        <v>115</v>
      </c>
      <c r="H33" s="82" t="s">
        <v>120</v>
      </c>
      <c r="I33" s="71">
        <f>$F$31*0.026667</f>
        <v>7.9200990000000002E-5</v>
      </c>
      <c r="J33" s="27">
        <f t="shared" si="9"/>
        <v>2.6667E-2</v>
      </c>
      <c r="K33" s="27">
        <f t="shared" si="0"/>
        <v>3.0746919523273421E-4</v>
      </c>
      <c r="L33" s="29">
        <f t="shared" si="8"/>
        <v>307.46919523273419</v>
      </c>
      <c r="M33" s="97"/>
      <c r="N33" s="97"/>
    </row>
    <row r="34" spans="2:14">
      <c r="B34" s="102"/>
      <c r="C34" s="104"/>
      <c r="D34" s="104"/>
      <c r="E34" s="104"/>
      <c r="F34" s="106"/>
      <c r="G34" s="82" t="s">
        <v>116</v>
      </c>
      <c r="H34" s="82" t="s">
        <v>120</v>
      </c>
      <c r="I34" s="71">
        <f>$F$31*0.023333</f>
        <v>6.9299010000000002E-5</v>
      </c>
      <c r="J34" s="27">
        <f t="shared" si="9"/>
        <v>2.3333E-2</v>
      </c>
      <c r="K34" s="27">
        <f t="shared" si="0"/>
        <v>2.6902833960945692E-4</v>
      </c>
      <c r="L34" s="29">
        <f t="shared" si="8"/>
        <v>269.02833960945691</v>
      </c>
      <c r="M34" s="97"/>
      <c r="N34" s="97"/>
    </row>
    <row r="35" spans="2:14" ht="15" thickBot="1">
      <c r="B35" s="103"/>
      <c r="C35" s="105"/>
      <c r="D35" s="105"/>
      <c r="E35" s="105"/>
      <c r="F35" s="107"/>
      <c r="G35" s="84" t="s">
        <v>117</v>
      </c>
      <c r="H35" s="84" t="s">
        <v>110</v>
      </c>
      <c r="I35" s="72">
        <f>$F$31*0.056667</f>
        <v>1.6830099E-4</v>
      </c>
      <c r="J35" s="31">
        <f t="shared" si="9"/>
        <v>5.6667000000000002E-2</v>
      </c>
      <c r="K35" s="31">
        <f t="shared" si="0"/>
        <v>6.5336771613804889E-4</v>
      </c>
      <c r="L35" s="33">
        <f t="shared" si="8"/>
        <v>653.36771613804888</v>
      </c>
      <c r="M35" s="98"/>
      <c r="N35" s="98"/>
    </row>
    <row r="36" spans="2:14">
      <c r="B36" s="102">
        <v>8</v>
      </c>
      <c r="C36" s="104" t="s">
        <v>124</v>
      </c>
      <c r="D36" s="104" t="s">
        <v>132</v>
      </c>
      <c r="E36" s="104" t="s">
        <v>126</v>
      </c>
      <c r="F36" s="106">
        <v>6.4999999999999997E-4</v>
      </c>
      <c r="G36" s="82" t="s">
        <v>142</v>
      </c>
      <c r="H36" s="82" t="s">
        <v>110</v>
      </c>
      <c r="I36" s="73">
        <f>F36*0.85</f>
        <v>5.5249999999999993E-4</v>
      </c>
      <c r="J36" s="36">
        <f>I36/F36</f>
        <v>0.85</v>
      </c>
      <c r="K36" s="37">
        <f t="shared" si="0"/>
        <v>2.1448814006754919E-3</v>
      </c>
      <c r="L36" s="38">
        <f t="shared" ref="L36:L40" si="10">K36*1000000</f>
        <v>2144.8814006754919</v>
      </c>
      <c r="M36" s="96"/>
      <c r="N36" s="96"/>
    </row>
    <row r="37" spans="2:14">
      <c r="B37" s="102"/>
      <c r="C37" s="104"/>
      <c r="D37" s="104"/>
      <c r="E37" s="104"/>
      <c r="F37" s="106"/>
      <c r="G37" s="82" t="s">
        <v>143</v>
      </c>
      <c r="H37" s="82" t="s">
        <v>111</v>
      </c>
      <c r="I37" s="73">
        <f>F36*0.027</f>
        <v>1.755E-5</v>
      </c>
      <c r="J37" s="36">
        <f>I37/F36</f>
        <v>2.7E-2</v>
      </c>
      <c r="K37" s="37">
        <f t="shared" si="0"/>
        <v>6.8131526844986218E-5</v>
      </c>
      <c r="L37" s="38">
        <f t="shared" si="10"/>
        <v>68.131526844986212</v>
      </c>
      <c r="M37" s="97"/>
      <c r="N37" s="97"/>
    </row>
    <row r="38" spans="2:14">
      <c r="B38" s="102"/>
      <c r="C38" s="104"/>
      <c r="D38" s="104"/>
      <c r="E38" s="104"/>
      <c r="F38" s="106"/>
      <c r="G38" s="82" t="s">
        <v>144</v>
      </c>
      <c r="H38" s="82" t="s">
        <v>119</v>
      </c>
      <c r="I38" s="73">
        <f>F36*0.023</f>
        <v>1.4949999999999999E-5</v>
      </c>
      <c r="J38" s="36">
        <f>I38/F36</f>
        <v>2.3E-2</v>
      </c>
      <c r="K38" s="37">
        <f t="shared" si="0"/>
        <v>5.803796731239567E-5</v>
      </c>
      <c r="L38" s="38">
        <f t="shared" si="10"/>
        <v>58.037967312395672</v>
      </c>
      <c r="M38" s="97"/>
      <c r="N38" s="97"/>
    </row>
    <row r="39" spans="2:14">
      <c r="B39" s="102"/>
      <c r="C39" s="104"/>
      <c r="D39" s="104"/>
      <c r="E39" s="104"/>
      <c r="F39" s="106"/>
      <c r="G39" s="82" t="s">
        <v>127</v>
      </c>
      <c r="H39" s="82" t="s">
        <v>129</v>
      </c>
      <c r="I39" s="73">
        <f>F36*0.05</f>
        <v>3.2499999999999997E-5</v>
      </c>
      <c r="J39" s="36">
        <f>I39/F36</f>
        <v>4.9999999999999996E-2</v>
      </c>
      <c r="K39" s="37">
        <f t="shared" si="0"/>
        <v>1.2616949415738187E-4</v>
      </c>
      <c r="L39" s="38">
        <f t="shared" si="10"/>
        <v>126.16949415738188</v>
      </c>
      <c r="M39" s="97"/>
      <c r="N39" s="97"/>
    </row>
    <row r="40" spans="2:14" ht="15" thickBot="1">
      <c r="B40" s="103"/>
      <c r="C40" s="105"/>
      <c r="D40" s="105"/>
      <c r="E40" s="105"/>
      <c r="F40" s="107"/>
      <c r="G40" s="85" t="s">
        <v>128</v>
      </c>
      <c r="H40" s="85" t="s">
        <v>129</v>
      </c>
      <c r="I40" s="72">
        <f>F36*0.05</f>
        <v>3.2499999999999997E-5</v>
      </c>
      <c r="J40" s="31">
        <f>I40/F36</f>
        <v>4.9999999999999996E-2</v>
      </c>
      <c r="K40" s="32">
        <f t="shared" si="0"/>
        <v>1.2616949415738187E-4</v>
      </c>
      <c r="L40" s="33">
        <f t="shared" si="10"/>
        <v>126.16949415738188</v>
      </c>
      <c r="M40" s="98"/>
      <c r="N40" s="98"/>
    </row>
    <row r="41" spans="2:14" ht="13.75" customHeight="1">
      <c r="B41" s="114">
        <v>9</v>
      </c>
      <c r="C41" s="111" t="s">
        <v>134</v>
      </c>
      <c r="D41" s="116" t="s">
        <v>52</v>
      </c>
      <c r="E41" s="116" t="s">
        <v>135</v>
      </c>
      <c r="F41" s="108">
        <v>5.2999999999999998E-4</v>
      </c>
      <c r="G41" s="88" t="s">
        <v>136</v>
      </c>
      <c r="H41" s="88" t="s">
        <v>139</v>
      </c>
      <c r="I41" s="70">
        <f>F$41*0.97</f>
        <v>5.1409999999999997E-4</v>
      </c>
      <c r="J41" s="22">
        <f>I41/F$41</f>
        <v>0.97</v>
      </c>
      <c r="K41" s="23">
        <f t="shared" si="0"/>
        <v>1.9958072906556931E-3</v>
      </c>
      <c r="L41" s="24">
        <f t="shared" si="3"/>
        <v>1995.8072906556931</v>
      </c>
      <c r="M41" s="96"/>
      <c r="N41" s="99"/>
    </row>
    <row r="42" spans="2:14" ht="13.75" customHeight="1">
      <c r="B42" s="102"/>
      <c r="C42" s="112"/>
      <c r="D42" s="104"/>
      <c r="E42" s="104"/>
      <c r="F42" s="109"/>
      <c r="G42" s="89" t="s">
        <v>137</v>
      </c>
      <c r="H42" s="92" t="s">
        <v>141</v>
      </c>
      <c r="I42" s="73">
        <f>F$41*0.027</f>
        <v>1.4309999999999999E-5</v>
      </c>
      <c r="J42" s="36">
        <f>I42/F$41</f>
        <v>2.7E-2</v>
      </c>
      <c r="K42" s="37">
        <f t="shared" si="0"/>
        <v>5.5553398812065683E-5</v>
      </c>
      <c r="L42" s="38">
        <f t="shared" ref="L42" si="11">K42*1000000</f>
        <v>55.55339881206568</v>
      </c>
      <c r="M42" s="97"/>
      <c r="N42" s="100"/>
    </row>
    <row r="43" spans="2:14" ht="15" thickBot="1">
      <c r="B43" s="115"/>
      <c r="C43" s="113"/>
      <c r="D43" s="117"/>
      <c r="E43" s="117"/>
      <c r="F43" s="110"/>
      <c r="G43" s="87" t="s">
        <v>138</v>
      </c>
      <c r="H43" s="91" t="s">
        <v>140</v>
      </c>
      <c r="I43" s="72">
        <f>F$41*0.003</f>
        <v>1.59E-6</v>
      </c>
      <c r="J43" s="31">
        <f>I43/F$41</f>
        <v>3.0000000000000001E-3</v>
      </c>
      <c r="K43" s="32">
        <f t="shared" si="0"/>
        <v>6.1725998680072988E-6</v>
      </c>
      <c r="L43" s="33">
        <f t="shared" si="3"/>
        <v>6.1725998680072989</v>
      </c>
      <c r="M43" s="98"/>
      <c r="N43" s="101"/>
    </row>
    <row r="44" spans="2:14">
      <c r="B44" s="140">
        <v>10</v>
      </c>
      <c r="C44" s="119" t="s">
        <v>82</v>
      </c>
      <c r="D44" s="143" t="s">
        <v>22</v>
      </c>
      <c r="E44" s="143" t="s">
        <v>65</v>
      </c>
      <c r="F44" s="147">
        <v>0.13219</v>
      </c>
      <c r="G44" s="34" t="s">
        <v>66</v>
      </c>
      <c r="H44" s="35" t="s">
        <v>11</v>
      </c>
      <c r="I44" s="73">
        <f>F$44*0.05</f>
        <v>6.6095000000000008E-3</v>
      </c>
      <c r="J44" s="36">
        <f t="shared" ref="J44:J49" si="12">I44/F$44</f>
        <v>0.05</v>
      </c>
      <c r="K44" s="37">
        <f t="shared" si="0"/>
        <v>2.5658992973329714E-2</v>
      </c>
      <c r="L44" s="38">
        <f t="shared" si="3"/>
        <v>25658.992973329714</v>
      </c>
      <c r="M44" s="96"/>
      <c r="N44" s="99"/>
    </row>
    <row r="45" spans="2:14">
      <c r="B45" s="141"/>
      <c r="C45" s="104"/>
      <c r="D45" s="144"/>
      <c r="E45" s="144"/>
      <c r="F45" s="148"/>
      <c r="G45" s="26" t="s">
        <v>67</v>
      </c>
      <c r="H45" s="39" t="s">
        <v>23</v>
      </c>
      <c r="I45" s="71">
        <f>F$44*0.015</f>
        <v>1.98285E-3</v>
      </c>
      <c r="J45" s="27">
        <f t="shared" si="12"/>
        <v>1.4999999999999999E-2</v>
      </c>
      <c r="K45" s="28">
        <f t="shared" si="0"/>
        <v>7.697697891998913E-3</v>
      </c>
      <c r="L45" s="29">
        <f t="shared" si="3"/>
        <v>7697.6978919989133</v>
      </c>
      <c r="M45" s="97"/>
      <c r="N45" s="100"/>
    </row>
    <row r="46" spans="2:14">
      <c r="B46" s="141"/>
      <c r="C46" s="104"/>
      <c r="D46" s="144"/>
      <c r="E46" s="144"/>
      <c r="F46" s="148"/>
      <c r="G46" s="26" t="s">
        <v>68</v>
      </c>
      <c r="H46" s="26" t="s">
        <v>69</v>
      </c>
      <c r="I46" s="71">
        <f>F$44*0.05</f>
        <v>6.6095000000000008E-3</v>
      </c>
      <c r="J46" s="27">
        <f t="shared" si="12"/>
        <v>0.05</v>
      </c>
      <c r="K46" s="28">
        <f t="shared" si="0"/>
        <v>2.5658992973329714E-2</v>
      </c>
      <c r="L46" s="29">
        <f t="shared" si="3"/>
        <v>25658.992973329714</v>
      </c>
      <c r="M46" s="97"/>
      <c r="N46" s="100"/>
    </row>
    <row r="47" spans="2:14">
      <c r="B47" s="141"/>
      <c r="C47" s="104"/>
      <c r="D47" s="144"/>
      <c r="E47" s="144"/>
      <c r="F47" s="148"/>
      <c r="G47" s="26" t="s">
        <v>70</v>
      </c>
      <c r="H47" s="39" t="s">
        <v>71</v>
      </c>
      <c r="I47" s="71">
        <f>F$44*0.05</f>
        <v>6.6095000000000008E-3</v>
      </c>
      <c r="J47" s="27">
        <f t="shared" si="12"/>
        <v>0.05</v>
      </c>
      <c r="K47" s="28">
        <f t="shared" si="0"/>
        <v>2.5658992973329714E-2</v>
      </c>
      <c r="L47" s="29">
        <f t="shared" si="3"/>
        <v>25658.992973329714</v>
      </c>
      <c r="M47" s="97"/>
      <c r="N47" s="100"/>
    </row>
    <row r="48" spans="2:14">
      <c r="B48" s="141"/>
      <c r="C48" s="104"/>
      <c r="D48" s="144"/>
      <c r="E48" s="144"/>
      <c r="F48" s="148"/>
      <c r="G48" s="26" t="s">
        <v>47</v>
      </c>
      <c r="H48" s="26" t="s">
        <v>49</v>
      </c>
      <c r="I48" s="71">
        <f>F$44*0.003</f>
        <v>3.9657000000000001E-4</v>
      </c>
      <c r="J48" s="27">
        <f t="shared" si="12"/>
        <v>3.0000000000000001E-3</v>
      </c>
      <c r="K48" s="28">
        <f t="shared" si="0"/>
        <v>1.5395395783997826E-3</v>
      </c>
      <c r="L48" s="29">
        <f t="shared" si="3"/>
        <v>1539.5395783997826</v>
      </c>
      <c r="M48" s="97"/>
      <c r="N48" s="100"/>
    </row>
    <row r="49" spans="2:15" ht="15" thickBot="1">
      <c r="B49" s="160"/>
      <c r="C49" s="104"/>
      <c r="D49" s="161"/>
      <c r="E49" s="161"/>
      <c r="F49" s="162"/>
      <c r="G49" s="16" t="s">
        <v>72</v>
      </c>
      <c r="H49" s="40" t="s">
        <v>73</v>
      </c>
      <c r="I49" s="68">
        <f>F$44*0.832</f>
        <v>0.10998208</v>
      </c>
      <c r="J49" s="18">
        <f t="shared" si="12"/>
        <v>0.83199999999999996</v>
      </c>
      <c r="K49" s="19">
        <f t="shared" si="0"/>
        <v>0.42696564307620638</v>
      </c>
      <c r="L49" s="20">
        <f t="shared" si="3"/>
        <v>426965.64307620638</v>
      </c>
      <c r="M49" s="98"/>
      <c r="N49" s="101"/>
    </row>
    <row r="50" spans="2:15">
      <c r="B50" s="114">
        <v>11</v>
      </c>
      <c r="C50" s="119" t="s">
        <v>93</v>
      </c>
      <c r="D50" s="116" t="s">
        <v>145</v>
      </c>
      <c r="E50" s="116" t="s">
        <v>147</v>
      </c>
      <c r="F50" s="146">
        <f>0.08068*0.9369</f>
        <v>7.5589091999999997E-2</v>
      </c>
      <c r="G50" s="41" t="s">
        <v>94</v>
      </c>
      <c r="H50" s="41" t="s">
        <v>29</v>
      </c>
      <c r="I50" s="74">
        <f>F50*0.25</f>
        <v>1.8897272999999999E-2</v>
      </c>
      <c r="J50" s="22">
        <f>I50/F$50</f>
        <v>0.25</v>
      </c>
      <c r="K50" s="23">
        <f t="shared" si="0"/>
        <v>7.3361826934275398E-2</v>
      </c>
      <c r="L50" s="24">
        <f t="shared" si="3"/>
        <v>73361.826934275392</v>
      </c>
      <c r="M50" s="96"/>
      <c r="N50" s="99"/>
    </row>
    <row r="51" spans="2:15">
      <c r="B51" s="141"/>
      <c r="C51" s="104"/>
      <c r="D51" s="144"/>
      <c r="E51" s="144"/>
      <c r="F51" s="148"/>
      <c r="G51" s="42" t="s">
        <v>56</v>
      </c>
      <c r="H51" s="42" t="s">
        <v>20</v>
      </c>
      <c r="I51" s="75">
        <f>F$50*0.5</f>
        <v>3.7794545999999998E-2</v>
      </c>
      <c r="J51" s="27">
        <f>I51/F$50</f>
        <v>0.5</v>
      </c>
      <c r="K51" s="28">
        <f t="shared" si="0"/>
        <v>0.1467236538685508</v>
      </c>
      <c r="L51" s="29">
        <f t="shared" si="3"/>
        <v>146723.65386855078</v>
      </c>
      <c r="M51" s="97"/>
      <c r="N51" s="100"/>
    </row>
    <row r="52" spans="2:15">
      <c r="B52" s="141"/>
      <c r="C52" s="104"/>
      <c r="D52" s="144"/>
      <c r="E52" s="144"/>
      <c r="F52" s="148"/>
      <c r="G52" s="42" t="s">
        <v>95</v>
      </c>
      <c r="H52" s="42" t="s">
        <v>97</v>
      </c>
      <c r="I52" s="75">
        <f>F$50*0.05</f>
        <v>3.7794546E-3</v>
      </c>
      <c r="J52" s="27">
        <f t="shared" ref="J52" si="13">I52/F$50</f>
        <v>0.05</v>
      </c>
      <c r="K52" s="28">
        <f t="shared" si="0"/>
        <v>1.4672365386855081E-2</v>
      </c>
      <c r="L52" s="29">
        <f t="shared" ref="L52" si="14">K52*1000000</f>
        <v>14672.365386855081</v>
      </c>
      <c r="M52" s="97"/>
      <c r="N52" s="100"/>
    </row>
    <row r="53" spans="2:15">
      <c r="B53" s="141"/>
      <c r="C53" s="104"/>
      <c r="D53" s="144"/>
      <c r="E53" s="144"/>
      <c r="F53" s="148"/>
      <c r="G53" s="42" t="s">
        <v>96</v>
      </c>
      <c r="H53" s="42" t="s">
        <v>98</v>
      </c>
      <c r="I53" s="75">
        <f>F$50*0.05</f>
        <v>3.7794546E-3</v>
      </c>
      <c r="J53" s="27">
        <f>I53/F$50</f>
        <v>0.05</v>
      </c>
      <c r="K53" s="28">
        <f t="shared" si="0"/>
        <v>1.4672365386855081E-2</v>
      </c>
      <c r="L53" s="29">
        <f t="shared" si="3"/>
        <v>14672.365386855081</v>
      </c>
      <c r="M53" s="97"/>
      <c r="N53" s="100"/>
    </row>
    <row r="54" spans="2:15">
      <c r="B54" s="141"/>
      <c r="C54" s="104"/>
      <c r="D54" s="159"/>
      <c r="E54" s="159"/>
      <c r="F54" s="148"/>
      <c r="G54" s="42" t="s">
        <v>57</v>
      </c>
      <c r="H54" s="44" t="s">
        <v>99</v>
      </c>
      <c r="I54" s="75">
        <f>F$50*0.05</f>
        <v>3.7794546E-3</v>
      </c>
      <c r="J54" s="27">
        <f>I54/F$50</f>
        <v>0.05</v>
      </c>
      <c r="K54" s="28">
        <f t="shared" si="0"/>
        <v>1.4672365386855081E-2</v>
      </c>
      <c r="L54" s="29">
        <f t="shared" si="3"/>
        <v>14672.365386855081</v>
      </c>
      <c r="M54" s="97"/>
      <c r="N54" s="100"/>
    </row>
    <row r="55" spans="2:15" ht="15" customHeight="1" thickBot="1">
      <c r="B55" s="142"/>
      <c r="C55" s="105"/>
      <c r="D55" s="117"/>
      <c r="E55" s="117"/>
      <c r="F55" s="149"/>
      <c r="G55" s="45" t="s">
        <v>28</v>
      </c>
      <c r="H55" s="46" t="s">
        <v>100</v>
      </c>
      <c r="I55" s="76">
        <f>F50*0.1</f>
        <v>7.5589092E-3</v>
      </c>
      <c r="J55" s="31">
        <f>I55/F$50</f>
        <v>0.1</v>
      </c>
      <c r="K55" s="32">
        <f t="shared" ref="K55:K76" si="15">I55/$F$77</f>
        <v>2.9344730773710161E-2</v>
      </c>
      <c r="L55" s="33">
        <f t="shared" si="3"/>
        <v>29344.730773710162</v>
      </c>
      <c r="M55" s="98"/>
      <c r="N55" s="101"/>
    </row>
    <row r="56" spans="2:15">
      <c r="B56" s="140">
        <v>12</v>
      </c>
      <c r="C56" s="119" t="s">
        <v>50</v>
      </c>
      <c r="D56" s="143" t="s">
        <v>24</v>
      </c>
      <c r="E56" s="143" t="s">
        <v>54</v>
      </c>
      <c r="F56" s="147">
        <f>0.08068*0.059</f>
        <v>4.7601199999999996E-3</v>
      </c>
      <c r="G56" s="47" t="s">
        <v>81</v>
      </c>
      <c r="H56" s="48" t="s">
        <v>30</v>
      </c>
      <c r="I56" s="77">
        <f>F$56*0.256</f>
        <v>1.21859072E-3</v>
      </c>
      <c r="J56" s="36">
        <f>I56/F$56</f>
        <v>0.25600000000000001</v>
      </c>
      <c r="K56" s="37">
        <f t="shared" si="15"/>
        <v>4.7307376839163017E-3</v>
      </c>
      <c r="L56" s="38">
        <f t="shared" si="3"/>
        <v>4730.7376839163016</v>
      </c>
      <c r="M56" s="96"/>
      <c r="N56" s="99"/>
      <c r="O56" s="49"/>
    </row>
    <row r="57" spans="2:15" ht="14.25" customHeight="1">
      <c r="B57" s="141"/>
      <c r="C57" s="104"/>
      <c r="D57" s="144"/>
      <c r="E57" s="144"/>
      <c r="F57" s="148"/>
      <c r="G57" s="50" t="s">
        <v>31</v>
      </c>
      <c r="H57" s="51" t="s">
        <v>30</v>
      </c>
      <c r="I57" s="77">
        <f>F$56*0.039</f>
        <v>1.8564467999999999E-4</v>
      </c>
      <c r="J57" s="27">
        <f t="shared" ref="J57:J71" si="16">I57/F$56</f>
        <v>3.9E-2</v>
      </c>
      <c r="K57" s="28">
        <f t="shared" si="15"/>
        <v>7.2069831903412397E-4</v>
      </c>
      <c r="L57" s="29">
        <f t="shared" si="3"/>
        <v>720.69831903412398</v>
      </c>
      <c r="M57" s="97"/>
      <c r="N57" s="100"/>
    </row>
    <row r="58" spans="2:15">
      <c r="B58" s="141"/>
      <c r="C58" s="104"/>
      <c r="D58" s="144"/>
      <c r="E58" s="144"/>
      <c r="F58" s="148"/>
      <c r="G58" s="50" t="s">
        <v>80</v>
      </c>
      <c r="H58" s="51" t="s">
        <v>30</v>
      </c>
      <c r="I58" s="77">
        <f>F$56*0.133</f>
        <v>6.3309596000000004E-4</v>
      </c>
      <c r="J58" s="27">
        <f t="shared" si="16"/>
        <v>0.13300000000000001</v>
      </c>
      <c r="K58" s="28">
        <f t="shared" si="15"/>
        <v>2.457766062347141E-3</v>
      </c>
      <c r="L58" s="29">
        <f t="shared" si="3"/>
        <v>2457.7660623471411</v>
      </c>
      <c r="M58" s="97"/>
      <c r="N58" s="100"/>
    </row>
    <row r="59" spans="2:15" ht="14.25" customHeight="1">
      <c r="B59" s="141"/>
      <c r="C59" s="104"/>
      <c r="D59" s="144"/>
      <c r="E59" s="144"/>
      <c r="F59" s="148"/>
      <c r="G59" s="50" t="s">
        <v>32</v>
      </c>
      <c r="H59" s="51" t="s">
        <v>30</v>
      </c>
      <c r="I59" s="77">
        <f>F$56*0.013</f>
        <v>6.1881559999999998E-5</v>
      </c>
      <c r="J59" s="27">
        <f t="shared" si="16"/>
        <v>1.3000000000000001E-2</v>
      </c>
      <c r="K59" s="28">
        <f t="shared" si="15"/>
        <v>2.4023277301137466E-4</v>
      </c>
      <c r="L59" s="29">
        <f t="shared" si="3"/>
        <v>240.23277301137466</v>
      </c>
      <c r="M59" s="97"/>
      <c r="N59" s="100"/>
    </row>
    <row r="60" spans="2:15" ht="14.25" customHeight="1">
      <c r="B60" s="141"/>
      <c r="C60" s="104"/>
      <c r="D60" s="144"/>
      <c r="E60" s="144"/>
      <c r="F60" s="148"/>
      <c r="G60" s="50" t="s">
        <v>33</v>
      </c>
      <c r="H60" s="51" t="s">
        <v>34</v>
      </c>
      <c r="I60" s="77">
        <f>F$56*0.0015</f>
        <v>7.1401799999999993E-6</v>
      </c>
      <c r="J60" s="27">
        <f t="shared" si="16"/>
        <v>1.5E-3</v>
      </c>
      <c r="K60" s="28">
        <f t="shared" si="15"/>
        <v>2.7719166116697075E-5</v>
      </c>
      <c r="L60" s="29">
        <f t="shared" si="3"/>
        <v>27.719166116697075</v>
      </c>
      <c r="M60" s="97"/>
      <c r="N60" s="100"/>
    </row>
    <row r="61" spans="2:15" ht="14.25" customHeight="1">
      <c r="B61" s="141"/>
      <c r="C61" s="104"/>
      <c r="D61" s="144"/>
      <c r="E61" s="144"/>
      <c r="F61" s="148"/>
      <c r="G61" s="50" t="s">
        <v>35</v>
      </c>
      <c r="H61" s="51" t="s">
        <v>30</v>
      </c>
      <c r="I61" s="77">
        <f>F$56*0.001</f>
        <v>4.7601200000000001E-6</v>
      </c>
      <c r="J61" s="27">
        <f t="shared" si="16"/>
        <v>1E-3</v>
      </c>
      <c r="K61" s="28">
        <f t="shared" si="15"/>
        <v>1.8479444077798053E-5</v>
      </c>
      <c r="L61" s="29">
        <f t="shared" si="3"/>
        <v>18.479444077798053</v>
      </c>
      <c r="M61" s="97"/>
      <c r="N61" s="100"/>
    </row>
    <row r="62" spans="2:15" ht="14.25" customHeight="1">
      <c r="B62" s="141"/>
      <c r="C62" s="104"/>
      <c r="D62" s="144"/>
      <c r="E62" s="144"/>
      <c r="F62" s="148"/>
      <c r="G62" s="50" t="s">
        <v>36</v>
      </c>
      <c r="H62" s="51" t="s">
        <v>37</v>
      </c>
      <c r="I62" s="77">
        <f>F$56*0.23</f>
        <v>1.0948276E-3</v>
      </c>
      <c r="J62" s="27">
        <f t="shared" si="16"/>
        <v>0.23</v>
      </c>
      <c r="K62" s="28">
        <f t="shared" si="15"/>
        <v>4.2502721378935519E-3</v>
      </c>
      <c r="L62" s="29">
        <f t="shared" si="3"/>
        <v>4250.2721378935521</v>
      </c>
      <c r="M62" s="97"/>
      <c r="N62" s="100"/>
    </row>
    <row r="63" spans="2:15">
      <c r="B63" s="141"/>
      <c r="C63" s="104"/>
      <c r="D63" s="144"/>
      <c r="E63" s="144"/>
      <c r="F63" s="148"/>
      <c r="G63" s="50" t="s">
        <v>79</v>
      </c>
      <c r="H63" s="51" t="s">
        <v>38</v>
      </c>
      <c r="I63" s="77">
        <f>F$56*0.003</f>
        <v>1.4280359999999999E-5</v>
      </c>
      <c r="J63" s="27">
        <f t="shared" si="16"/>
        <v>3.0000000000000001E-3</v>
      </c>
      <c r="K63" s="28">
        <f t="shared" si="15"/>
        <v>5.543833223339415E-5</v>
      </c>
      <c r="L63" s="29">
        <f t="shared" si="3"/>
        <v>55.438332233394149</v>
      </c>
      <c r="M63" s="97"/>
      <c r="N63" s="100"/>
    </row>
    <row r="64" spans="2:15" ht="14.25" customHeight="1">
      <c r="B64" s="141"/>
      <c r="C64" s="104"/>
      <c r="D64" s="144"/>
      <c r="E64" s="144"/>
      <c r="F64" s="148"/>
      <c r="G64" s="50" t="s">
        <v>39</v>
      </c>
      <c r="H64" s="51" t="s">
        <v>40</v>
      </c>
      <c r="I64" s="77">
        <f>F$56*0.026</f>
        <v>1.2376312E-4</v>
      </c>
      <c r="J64" s="27">
        <f t="shared" si="16"/>
        <v>2.6000000000000002E-2</v>
      </c>
      <c r="K64" s="28">
        <f t="shared" si="15"/>
        <v>4.8046554602274933E-4</v>
      </c>
      <c r="L64" s="29">
        <f t="shared" si="3"/>
        <v>480.46554602274932</v>
      </c>
      <c r="M64" s="97"/>
      <c r="N64" s="100"/>
    </row>
    <row r="65" spans="2:14" ht="14.25" customHeight="1">
      <c r="B65" s="141"/>
      <c r="C65" s="104"/>
      <c r="D65" s="144"/>
      <c r="E65" s="144"/>
      <c r="F65" s="148"/>
      <c r="G65" s="50" t="s">
        <v>41</v>
      </c>
      <c r="H65" s="51" t="s">
        <v>30</v>
      </c>
      <c r="I65" s="77">
        <f>F$56*0.025</f>
        <v>1.19003E-4</v>
      </c>
      <c r="J65" s="27">
        <f t="shared" si="16"/>
        <v>2.5000000000000001E-2</v>
      </c>
      <c r="K65" s="28">
        <f t="shared" si="15"/>
        <v>4.6198610194495129E-4</v>
      </c>
      <c r="L65" s="29">
        <f t="shared" si="3"/>
        <v>461.98610194495132</v>
      </c>
      <c r="M65" s="97"/>
      <c r="N65" s="100"/>
    </row>
    <row r="66" spans="2:14" ht="14.25" customHeight="1">
      <c r="B66" s="141"/>
      <c r="C66" s="104"/>
      <c r="D66" s="144"/>
      <c r="E66" s="144"/>
      <c r="F66" s="148"/>
      <c r="G66" s="50" t="s">
        <v>42</v>
      </c>
      <c r="H66" s="51" t="s">
        <v>30</v>
      </c>
      <c r="I66" s="77">
        <f>F$56*0.0035</f>
        <v>1.6660419999999999E-5</v>
      </c>
      <c r="J66" s="27">
        <f t="shared" si="16"/>
        <v>3.5000000000000001E-3</v>
      </c>
      <c r="K66" s="28">
        <f t="shared" si="15"/>
        <v>6.4678054272293182E-5</v>
      </c>
      <c r="L66" s="29">
        <f t="shared" si="3"/>
        <v>64.678054272293181</v>
      </c>
      <c r="M66" s="97"/>
      <c r="N66" s="100"/>
    </row>
    <row r="67" spans="2:14" ht="15" customHeight="1">
      <c r="B67" s="141"/>
      <c r="C67" s="104"/>
      <c r="D67" s="144"/>
      <c r="E67" s="144"/>
      <c r="F67" s="148"/>
      <c r="G67" s="50" t="s">
        <v>43</v>
      </c>
      <c r="H67" s="51" t="s">
        <v>30</v>
      </c>
      <c r="I67" s="77">
        <f>F$56*0.01</f>
        <v>4.7601199999999994E-5</v>
      </c>
      <c r="J67" s="27">
        <f t="shared" si="16"/>
        <v>0.01</v>
      </c>
      <c r="K67" s="28">
        <f t="shared" si="15"/>
        <v>1.847944407779805E-4</v>
      </c>
      <c r="L67" s="29">
        <f t="shared" si="3"/>
        <v>184.7944407779805</v>
      </c>
      <c r="M67" s="97"/>
      <c r="N67" s="100"/>
    </row>
    <row r="68" spans="2:14" ht="26">
      <c r="B68" s="141"/>
      <c r="C68" s="104"/>
      <c r="D68" s="144"/>
      <c r="E68" s="144"/>
      <c r="F68" s="148"/>
      <c r="G68" s="50" t="s">
        <v>74</v>
      </c>
      <c r="H68" s="51" t="s">
        <v>44</v>
      </c>
      <c r="I68" s="77">
        <f>F$56*0.001</f>
        <v>4.7601200000000001E-6</v>
      </c>
      <c r="J68" s="27">
        <f t="shared" si="16"/>
        <v>1E-3</v>
      </c>
      <c r="K68" s="28">
        <f t="shared" si="15"/>
        <v>1.8479444077798053E-5</v>
      </c>
      <c r="L68" s="29">
        <f t="shared" si="3"/>
        <v>18.479444077798053</v>
      </c>
      <c r="M68" s="97"/>
      <c r="N68" s="100"/>
    </row>
    <row r="69" spans="2:14">
      <c r="B69" s="141"/>
      <c r="C69" s="104"/>
      <c r="D69" s="144"/>
      <c r="E69" s="144"/>
      <c r="F69" s="148"/>
      <c r="G69" s="50" t="s">
        <v>75</v>
      </c>
      <c r="H69" s="52" t="s">
        <v>77</v>
      </c>
      <c r="I69" s="77">
        <f>F$56*0.091</f>
        <v>4.3317091999999993E-4</v>
      </c>
      <c r="J69" s="27">
        <f t="shared" si="16"/>
        <v>9.0999999999999998E-2</v>
      </c>
      <c r="K69" s="28">
        <f t="shared" si="15"/>
        <v>1.6816294110796224E-3</v>
      </c>
      <c r="L69" s="29">
        <f t="shared" si="3"/>
        <v>1681.6294110796225</v>
      </c>
      <c r="M69" s="97"/>
      <c r="N69" s="100"/>
    </row>
    <row r="70" spans="2:14">
      <c r="B70" s="141"/>
      <c r="C70" s="104"/>
      <c r="D70" s="144"/>
      <c r="E70" s="144"/>
      <c r="F70" s="148"/>
      <c r="G70" s="50" t="s">
        <v>76</v>
      </c>
      <c r="H70" s="51" t="s">
        <v>45</v>
      </c>
      <c r="I70" s="77">
        <f>F$56*0.143</f>
        <v>6.8069715999999987E-4</v>
      </c>
      <c r="J70" s="27">
        <f t="shared" si="16"/>
        <v>0.14299999999999999</v>
      </c>
      <c r="K70" s="28">
        <f t="shared" si="15"/>
        <v>2.642560503125121E-3</v>
      </c>
      <c r="L70" s="29">
        <f t="shared" si="3"/>
        <v>2642.5605031251212</v>
      </c>
      <c r="M70" s="97"/>
      <c r="N70" s="100"/>
    </row>
    <row r="71" spans="2:14" ht="15" thickBot="1">
      <c r="B71" s="160"/>
      <c r="C71" s="105"/>
      <c r="D71" s="161"/>
      <c r="E71" s="161"/>
      <c r="F71" s="162"/>
      <c r="G71" s="53" t="s">
        <v>78</v>
      </c>
      <c r="H71" s="54" t="s">
        <v>46</v>
      </c>
      <c r="I71" s="78">
        <f>F$56*0.024</f>
        <v>1.1424287999999999E-4</v>
      </c>
      <c r="J71" s="18">
        <f t="shared" si="16"/>
        <v>2.4E-2</v>
      </c>
      <c r="K71" s="19">
        <f t="shared" si="15"/>
        <v>4.435066578671532E-4</v>
      </c>
      <c r="L71" s="20">
        <f t="shared" si="3"/>
        <v>443.50665786715319</v>
      </c>
      <c r="M71" s="98"/>
      <c r="N71" s="101"/>
    </row>
    <row r="72" spans="2:14" ht="13.75" customHeight="1" thickBot="1">
      <c r="B72" s="114">
        <v>13</v>
      </c>
      <c r="C72" s="119" t="s">
        <v>92</v>
      </c>
      <c r="D72" s="116" t="s">
        <v>146</v>
      </c>
      <c r="E72" s="167" t="s">
        <v>25</v>
      </c>
      <c r="F72" s="108">
        <f>0.08068*0.0041</f>
        <v>3.3078800000000005E-4</v>
      </c>
      <c r="G72" s="21" t="s">
        <v>26</v>
      </c>
      <c r="H72" s="21" t="s">
        <v>0</v>
      </c>
      <c r="I72" s="74">
        <f>F72*0.1268</f>
        <v>4.1943918400000006E-5</v>
      </c>
      <c r="J72" s="22">
        <f>I72/F$72</f>
        <v>0.1268</v>
      </c>
      <c r="K72" s="23">
        <f t="shared" si="15"/>
        <v>1.6283209130789242E-4</v>
      </c>
      <c r="L72" s="24">
        <f t="shared" si="3"/>
        <v>162.83209130789243</v>
      </c>
      <c r="M72" s="93"/>
      <c r="N72" s="94"/>
    </row>
    <row r="73" spans="2:14" ht="15" thickBot="1">
      <c r="B73" s="166"/>
      <c r="C73" s="105"/>
      <c r="D73" s="145"/>
      <c r="E73" s="168"/>
      <c r="F73" s="169"/>
      <c r="G73" s="30" t="s">
        <v>21</v>
      </c>
      <c r="H73" s="30" t="s">
        <v>27</v>
      </c>
      <c r="I73" s="76">
        <f>F72*0.8732</f>
        <v>2.8884408160000005E-4</v>
      </c>
      <c r="J73" s="31">
        <f>I73/F$72</f>
        <v>0.87319999999999998</v>
      </c>
      <c r="K73" s="32">
        <f t="shared" si="15"/>
        <v>1.121332666640786E-3</v>
      </c>
      <c r="L73" s="33">
        <f t="shared" si="3"/>
        <v>1121.3326666407861</v>
      </c>
      <c r="M73" s="93"/>
      <c r="N73" s="95"/>
    </row>
    <row r="74" spans="2:14" ht="13.75" customHeight="1">
      <c r="B74" s="114">
        <v>14</v>
      </c>
      <c r="C74" s="119" t="s">
        <v>104</v>
      </c>
      <c r="D74" s="116" t="s">
        <v>105</v>
      </c>
      <c r="E74" s="167" t="s">
        <v>106</v>
      </c>
      <c r="F74" s="108">
        <v>2.6689999999999998E-2</v>
      </c>
      <c r="G74" s="21" t="s">
        <v>109</v>
      </c>
      <c r="H74" s="21" t="s">
        <v>110</v>
      </c>
      <c r="I74" s="74">
        <f>F74*0.965</f>
        <v>2.5755849999999997E-2</v>
      </c>
      <c r="J74" s="22">
        <f>I74/F$74</f>
        <v>0.96499999999999997</v>
      </c>
      <c r="K74" s="23">
        <f t="shared" si="15"/>
        <v>9.9987771264412426E-2</v>
      </c>
      <c r="L74" s="24">
        <f t="shared" ref="L74:L76" si="17">K74*1000000</f>
        <v>99987.771264412426</v>
      </c>
      <c r="M74" s="96"/>
      <c r="N74" s="99"/>
    </row>
    <row r="75" spans="2:14" ht="13.75" customHeight="1">
      <c r="B75" s="102"/>
      <c r="C75" s="104"/>
      <c r="D75" s="104"/>
      <c r="E75" s="170"/>
      <c r="F75" s="109"/>
      <c r="G75" s="25" t="s">
        <v>107</v>
      </c>
      <c r="H75" s="25" t="s">
        <v>111</v>
      </c>
      <c r="I75" s="75">
        <f>F74*0.03</f>
        <v>8.0069999999999989E-4</v>
      </c>
      <c r="J75" s="27">
        <f>I75/F$74</f>
        <v>0.03</v>
      </c>
      <c r="K75" s="28">
        <f t="shared" si="15"/>
        <v>3.1084281222097127E-3</v>
      </c>
      <c r="L75" s="29">
        <f t="shared" si="17"/>
        <v>3108.4281222097129</v>
      </c>
      <c r="M75" s="97"/>
      <c r="N75" s="100"/>
    </row>
    <row r="76" spans="2:14" ht="15" thickBot="1">
      <c r="B76" s="166"/>
      <c r="C76" s="105"/>
      <c r="D76" s="145"/>
      <c r="E76" s="168"/>
      <c r="F76" s="169"/>
      <c r="G76" s="55" t="s">
        <v>108</v>
      </c>
      <c r="H76" s="55" t="s">
        <v>112</v>
      </c>
      <c r="I76" s="76">
        <f>F74*0.005</f>
        <v>1.3344999999999999E-4</v>
      </c>
      <c r="J76" s="31">
        <f>I76/F$74</f>
        <v>5.0000000000000001E-3</v>
      </c>
      <c r="K76" s="32">
        <f t="shared" si="15"/>
        <v>5.1807135370161882E-4</v>
      </c>
      <c r="L76" s="33">
        <f t="shared" si="17"/>
        <v>518.07135370161882</v>
      </c>
      <c r="M76" s="98"/>
      <c r="N76" s="101"/>
    </row>
    <row r="77" spans="2:14" ht="15" thickBot="1">
      <c r="B77" s="163" t="s">
        <v>7</v>
      </c>
      <c r="C77" s="164"/>
      <c r="D77" s="165"/>
      <c r="E77" s="165"/>
      <c r="F77" s="56">
        <f>SUM(F9:F76)</f>
        <v>0.25758999999999999</v>
      </c>
      <c r="G77" s="57"/>
      <c r="H77" s="58"/>
      <c r="I77" s="59"/>
      <c r="J77" s="58"/>
      <c r="K77" s="79">
        <f>SUM(K9:K76)</f>
        <v>1</v>
      </c>
      <c r="L77" s="80">
        <f>SUM(L9:L76)</f>
        <v>999999.99999999988</v>
      </c>
    </row>
    <row r="78" spans="2:14">
      <c r="F78" s="43"/>
      <c r="G78" s="43"/>
    </row>
    <row r="79" spans="2:14">
      <c r="F79" s="60"/>
    </row>
  </sheetData>
  <mergeCells count="100">
    <mergeCell ref="M74:M76"/>
    <mergeCell ref="N74:N76"/>
    <mergeCell ref="M44:M49"/>
    <mergeCell ref="N44:N49"/>
    <mergeCell ref="M50:M55"/>
    <mergeCell ref="N50:N55"/>
    <mergeCell ref="M56:M71"/>
    <mergeCell ref="N56:N71"/>
    <mergeCell ref="M26:M30"/>
    <mergeCell ref="N26:N30"/>
    <mergeCell ref="M31:M35"/>
    <mergeCell ref="N31:N35"/>
    <mergeCell ref="M36:M40"/>
    <mergeCell ref="N36:N40"/>
    <mergeCell ref="M6:M8"/>
    <mergeCell ref="N6:N8"/>
    <mergeCell ref="M11:M20"/>
    <mergeCell ref="N11:N20"/>
    <mergeCell ref="M21:M25"/>
    <mergeCell ref="N21:N25"/>
    <mergeCell ref="B16:B20"/>
    <mergeCell ref="C16:C20"/>
    <mergeCell ref="D16:D20"/>
    <mergeCell ref="E16:E20"/>
    <mergeCell ref="F16:F20"/>
    <mergeCell ref="B77:E77"/>
    <mergeCell ref="B56:B71"/>
    <mergeCell ref="D56:D71"/>
    <mergeCell ref="E56:E71"/>
    <mergeCell ref="F56:F71"/>
    <mergeCell ref="B72:B73"/>
    <mergeCell ref="D72:D73"/>
    <mergeCell ref="E72:E73"/>
    <mergeCell ref="F72:F73"/>
    <mergeCell ref="C56:C71"/>
    <mergeCell ref="C72:C73"/>
    <mergeCell ref="B74:B76"/>
    <mergeCell ref="C74:C76"/>
    <mergeCell ref="D74:D76"/>
    <mergeCell ref="E74:E76"/>
    <mergeCell ref="F74:F76"/>
    <mergeCell ref="B50:B55"/>
    <mergeCell ref="D50:D55"/>
    <mergeCell ref="E50:E55"/>
    <mergeCell ref="F50:F55"/>
    <mergeCell ref="C44:C49"/>
    <mergeCell ref="C50:C55"/>
    <mergeCell ref="B44:B49"/>
    <mergeCell ref="D44:D49"/>
    <mergeCell ref="E44:E49"/>
    <mergeCell ref="F44:F49"/>
    <mergeCell ref="J6:J8"/>
    <mergeCell ref="K6:K8"/>
    <mergeCell ref="L6:L8"/>
    <mergeCell ref="B11:B15"/>
    <mergeCell ref="D11:D15"/>
    <mergeCell ref="E11:E15"/>
    <mergeCell ref="F11:F15"/>
    <mergeCell ref="B6:B8"/>
    <mergeCell ref="D6:D8"/>
    <mergeCell ref="E6:E8"/>
    <mergeCell ref="F6:F8"/>
    <mergeCell ref="G6:G8"/>
    <mergeCell ref="H6:H8"/>
    <mergeCell ref="I6:I8"/>
    <mergeCell ref="C6:C8"/>
    <mergeCell ref="C11:C15"/>
    <mergeCell ref="B3:D3"/>
    <mergeCell ref="E3:F3"/>
    <mergeCell ref="B4:D4"/>
    <mergeCell ref="E4:F4"/>
    <mergeCell ref="J3:L3"/>
    <mergeCell ref="J4:L4"/>
    <mergeCell ref="B21:B25"/>
    <mergeCell ref="C21:C25"/>
    <mergeCell ref="D21:D25"/>
    <mergeCell ref="E21:E25"/>
    <mergeCell ref="F21:F25"/>
    <mergeCell ref="B26:B30"/>
    <mergeCell ref="C26:C30"/>
    <mergeCell ref="D26:D30"/>
    <mergeCell ref="E26:E30"/>
    <mergeCell ref="F26:F30"/>
    <mergeCell ref="B31:B35"/>
    <mergeCell ref="C31:C35"/>
    <mergeCell ref="D31:D35"/>
    <mergeCell ref="E31:E35"/>
    <mergeCell ref="F31:F35"/>
    <mergeCell ref="M41:M43"/>
    <mergeCell ref="N41:N43"/>
    <mergeCell ref="B36:B40"/>
    <mergeCell ref="C36:C40"/>
    <mergeCell ref="D36:D40"/>
    <mergeCell ref="E36:E40"/>
    <mergeCell ref="F36:F40"/>
    <mergeCell ref="F41:F43"/>
    <mergeCell ref="C41:C43"/>
    <mergeCell ref="B41:B43"/>
    <mergeCell ref="D41:D43"/>
    <mergeCell ref="E41:E43"/>
  </mergeCells>
  <phoneticPr fontId="5" type="noConversion"/>
  <conditionalFormatting sqref="G51:G52 G54">
    <cfRule type="cellIs" dxfId="1" priority="2" stopIfTrue="1" operator="equal">
      <formula>#REF!</formula>
    </cfRule>
  </conditionalFormatting>
  <conditionalFormatting sqref="G53">
    <cfRule type="cellIs" dxfId="0" priority="1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6" r:id="rId4">
          <objectPr defaultSize="0" autoPict="0" r:id="rId5">
            <anchor moveWithCells="1">
              <from>
                <xdr:col>13</xdr:col>
                <xdr:colOff>127000</xdr:colOff>
                <xdr:row>13</xdr:row>
                <xdr:rowOff>146050</xdr:rowOff>
              </from>
              <to>
                <xdr:col>13</xdr:col>
                <xdr:colOff>641350</xdr:colOff>
                <xdr:row>15</xdr:row>
                <xdr:rowOff>114300</xdr:rowOff>
              </to>
            </anchor>
          </objectPr>
        </oleObject>
      </mc:Choice>
      <mc:Fallback>
        <oleObject progId="Acrobat Document" dvAspect="DVASPECT_ICON" shapeId="1026" r:id="rId4"/>
      </mc:Fallback>
    </mc:AlternateContent>
    <mc:AlternateContent xmlns:mc="http://schemas.openxmlformats.org/markup-compatibility/2006">
      <mc:Choice Requires="x14">
        <oleObject progId="Acrobat Document" dvAspect="DVASPECT_ICON" shapeId="1027" r:id="rId6">
          <objectPr defaultSize="0" autoPict="0" r:id="rId7">
            <anchor moveWithCells="1">
              <from>
                <xdr:col>13</xdr:col>
                <xdr:colOff>165100</xdr:colOff>
                <xdr:row>27</xdr:row>
                <xdr:rowOff>31750</xdr:rowOff>
              </from>
              <to>
                <xdr:col>13</xdr:col>
                <xdr:colOff>641350</xdr:colOff>
                <xdr:row>28</xdr:row>
                <xdr:rowOff>190500</xdr:rowOff>
              </to>
            </anchor>
          </objectPr>
        </oleObject>
      </mc:Choice>
      <mc:Fallback>
        <oleObject progId="Acrobat Document" dvAspect="DVASPECT_ICON" shapeId="1027" r:id="rId6"/>
      </mc:Fallback>
    </mc:AlternateContent>
    <mc:AlternateContent xmlns:mc="http://schemas.openxmlformats.org/markup-compatibility/2006">
      <mc:Choice Requires="x14">
        <oleObject progId="Acrobat Document" dvAspect="DVASPECT_ICON" shapeId="1029" r:id="rId8">
          <objectPr defaultSize="0" autoPict="0" r:id="rId9">
            <anchor moveWithCells="1">
              <from>
                <xdr:col>13</xdr:col>
                <xdr:colOff>152400</xdr:colOff>
                <xdr:row>22</xdr:row>
                <xdr:rowOff>12700</xdr:rowOff>
              </from>
              <to>
                <xdr:col>13</xdr:col>
                <xdr:colOff>622300</xdr:colOff>
                <xdr:row>23</xdr:row>
                <xdr:rowOff>165100</xdr:rowOff>
              </to>
            </anchor>
          </objectPr>
        </oleObject>
      </mc:Choice>
      <mc:Fallback>
        <oleObject progId="Acrobat Document" dvAspect="DVASPECT_ICON" shapeId="1029" r:id="rId8"/>
      </mc:Fallback>
    </mc:AlternateContent>
    <mc:AlternateContent xmlns:mc="http://schemas.openxmlformats.org/markup-compatibility/2006">
      <mc:Choice Requires="x14">
        <oleObject progId="Acrobat Document" dvAspect="DVASPECT_ICON" shapeId="1032" r:id="rId10">
          <objectPr defaultSize="0" autoPict="0" r:id="rId7">
            <anchor moveWithCells="1">
              <from>
                <xdr:col>13</xdr:col>
                <xdr:colOff>165100</xdr:colOff>
                <xdr:row>37</xdr:row>
                <xdr:rowOff>50800</xdr:rowOff>
              </from>
              <to>
                <xdr:col>13</xdr:col>
                <xdr:colOff>641350</xdr:colOff>
                <xdr:row>39</xdr:row>
                <xdr:rowOff>12700</xdr:rowOff>
              </to>
            </anchor>
          </objectPr>
        </oleObject>
      </mc:Choice>
      <mc:Fallback>
        <oleObject progId="Acrobat Document" dvAspect="DVASPECT_ICON" shapeId="1032" r:id="rId10"/>
      </mc:Fallback>
    </mc:AlternateContent>
    <mc:AlternateContent xmlns:mc="http://schemas.openxmlformats.org/markup-compatibility/2006">
      <mc:Choice Requires="x14">
        <oleObject progId="Acrobat Document" dvAspect="DVASPECT_ICON" shapeId="1034" r:id="rId11">
          <objectPr defaultSize="0" autoPict="0" r:id="rId9">
            <anchor moveWithCells="1">
              <from>
                <xdr:col>13</xdr:col>
                <xdr:colOff>152400</xdr:colOff>
                <xdr:row>32</xdr:row>
                <xdr:rowOff>31750</xdr:rowOff>
              </from>
              <to>
                <xdr:col>13</xdr:col>
                <xdr:colOff>622300</xdr:colOff>
                <xdr:row>33</xdr:row>
                <xdr:rowOff>184150</xdr:rowOff>
              </to>
            </anchor>
          </objectPr>
        </oleObject>
      </mc:Choice>
      <mc:Fallback>
        <oleObject progId="Acrobat Document" dvAspect="DVASPECT_ICON" shapeId="1034" r:id="rId11"/>
      </mc:Fallback>
    </mc:AlternateContent>
    <mc:AlternateContent xmlns:mc="http://schemas.openxmlformats.org/markup-compatibility/2006">
      <mc:Choice Requires="x14">
        <oleObject progId="Acrobat Document" dvAspect="DVASPECT_ICON" shapeId="1039" r:id="rId12">
          <objectPr defaultSize="0" autoPict="0" r:id="rId13">
            <anchor moveWithCells="1">
              <from>
                <xdr:col>13</xdr:col>
                <xdr:colOff>114300</xdr:colOff>
                <xdr:row>51</xdr:row>
                <xdr:rowOff>12700</xdr:rowOff>
              </from>
              <to>
                <xdr:col>13</xdr:col>
                <xdr:colOff>590550</xdr:colOff>
                <xdr:row>52</xdr:row>
                <xdr:rowOff>171450</xdr:rowOff>
              </to>
            </anchor>
          </objectPr>
        </oleObject>
      </mc:Choice>
      <mc:Fallback>
        <oleObject progId="Acrobat Document" dvAspect="DVASPECT_ICON" shapeId="1039" r:id="rId12"/>
      </mc:Fallback>
    </mc:AlternateContent>
    <mc:AlternateContent xmlns:mc="http://schemas.openxmlformats.org/markup-compatibility/2006">
      <mc:Choice Requires="x14">
        <oleObject progId="Acrobat Document" dvAspect="DVASPECT_ICON" shapeId="1040" r:id="rId14">
          <objectPr defaultSize="0" autoPict="0" r:id="rId15">
            <anchor moveWithCells="1">
              <from>
                <xdr:col>13</xdr:col>
                <xdr:colOff>69850</xdr:colOff>
                <xdr:row>44</xdr:row>
                <xdr:rowOff>190500</xdr:rowOff>
              </from>
              <to>
                <xdr:col>13</xdr:col>
                <xdr:colOff>641350</xdr:colOff>
                <xdr:row>47</xdr:row>
                <xdr:rowOff>19050</xdr:rowOff>
              </to>
            </anchor>
          </objectPr>
        </oleObject>
      </mc:Choice>
      <mc:Fallback>
        <oleObject progId="Acrobat Document" dvAspect="DVASPECT_ICON" shapeId="1040" r:id="rId14"/>
      </mc:Fallback>
    </mc:AlternateContent>
    <mc:AlternateContent xmlns:mc="http://schemas.openxmlformats.org/markup-compatibility/2006">
      <mc:Choice Requires="x14">
        <oleObject progId="Acrobat Document" dvAspect="DVASPECT_ICON" shapeId="1042" r:id="rId16">
          <objectPr defaultSize="0" autoPict="0" r:id="rId17">
            <anchor moveWithCells="1">
              <from>
                <xdr:col>13</xdr:col>
                <xdr:colOff>57150</xdr:colOff>
                <xdr:row>61</xdr:row>
                <xdr:rowOff>133350</xdr:rowOff>
              </from>
              <to>
                <xdr:col>13</xdr:col>
                <xdr:colOff>571500</xdr:colOff>
                <xdr:row>63</xdr:row>
                <xdr:rowOff>127000</xdr:rowOff>
              </to>
            </anchor>
          </objectPr>
        </oleObject>
      </mc:Choice>
      <mc:Fallback>
        <oleObject progId="Acrobat Document" dvAspect="DVASPECT_ICON" shapeId="1042" r:id="rId16"/>
      </mc:Fallback>
    </mc:AlternateContent>
    <mc:AlternateContent xmlns:mc="http://schemas.openxmlformats.org/markup-compatibility/2006">
      <mc:Choice Requires="x14">
        <oleObject progId="Acrobat Document" dvAspect="DVASPECT_ICON" shapeId="1047" r:id="rId18">
          <objectPr defaultSize="0" autoPict="0" r:id="rId19">
            <anchor moveWithCells="1">
              <from>
                <xdr:col>13</xdr:col>
                <xdr:colOff>266700</xdr:colOff>
                <xdr:row>71</xdr:row>
                <xdr:rowOff>19050</xdr:rowOff>
              </from>
              <to>
                <xdr:col>13</xdr:col>
                <xdr:colOff>476250</xdr:colOff>
                <xdr:row>71</xdr:row>
                <xdr:rowOff>184150</xdr:rowOff>
              </to>
            </anchor>
          </objectPr>
        </oleObject>
      </mc:Choice>
      <mc:Fallback>
        <oleObject progId="Acrobat Document" dvAspect="DVASPECT_ICON" shapeId="1047" r:id="rId18"/>
      </mc:Fallback>
    </mc:AlternateContent>
    <mc:AlternateContent xmlns:mc="http://schemas.openxmlformats.org/markup-compatibility/2006">
      <mc:Choice Requires="x14">
        <oleObject progId="Acrobat Document" dvAspect="DVASPECT_ICON" shapeId="1048" r:id="rId20">
          <objectPr defaultSize="0" autoPict="0" r:id="rId21">
            <anchor moveWithCells="1">
              <from>
                <xdr:col>13</xdr:col>
                <xdr:colOff>247650</xdr:colOff>
                <xdr:row>72</xdr:row>
                <xdr:rowOff>12700</xdr:rowOff>
              </from>
              <to>
                <xdr:col>13</xdr:col>
                <xdr:colOff>488950</xdr:colOff>
                <xdr:row>72</xdr:row>
                <xdr:rowOff>190500</xdr:rowOff>
              </to>
            </anchor>
          </objectPr>
        </oleObject>
      </mc:Choice>
      <mc:Fallback>
        <oleObject progId="Acrobat Document" dvAspect="DVASPECT_ICON" shapeId="1048" r:id="rId20"/>
      </mc:Fallback>
    </mc:AlternateContent>
    <mc:AlternateContent xmlns:mc="http://schemas.openxmlformats.org/markup-compatibility/2006">
      <mc:Choice Requires="x14">
        <oleObject progId="Acrobat Document" dvAspect="DVASPECT_ICON" shapeId="1051" r:id="rId22">
          <objectPr defaultSize="0" autoPict="0" r:id="rId23">
            <anchor moveWithCells="1">
              <from>
                <xdr:col>13</xdr:col>
                <xdr:colOff>203200</xdr:colOff>
                <xdr:row>73</xdr:row>
                <xdr:rowOff>171450</xdr:rowOff>
              </from>
              <to>
                <xdr:col>13</xdr:col>
                <xdr:colOff>514350</xdr:colOff>
                <xdr:row>75</xdr:row>
                <xdr:rowOff>88900</xdr:rowOff>
              </to>
            </anchor>
          </objectPr>
        </oleObject>
      </mc:Choice>
      <mc:Fallback>
        <oleObject progId="Acrobat Document" dvAspect="DVASPECT_ICON" shapeId="1051" r:id="rId22"/>
      </mc:Fallback>
    </mc:AlternateContent>
    <mc:AlternateContent xmlns:mc="http://schemas.openxmlformats.org/markup-compatibility/2006">
      <mc:Choice Requires="x14">
        <oleObject progId="Acrobat Document" dvAspect="DVASPECT_ICON" shapeId="1053" r:id="rId24">
          <objectPr defaultSize="0" autoPict="0" r:id="rId25">
            <anchor moveWithCells="1">
              <from>
                <xdr:col>13</xdr:col>
                <xdr:colOff>146050</xdr:colOff>
                <xdr:row>40</xdr:row>
                <xdr:rowOff>38100</xdr:rowOff>
              </from>
              <to>
                <xdr:col>13</xdr:col>
                <xdr:colOff>571500</xdr:colOff>
                <xdr:row>41</xdr:row>
                <xdr:rowOff>171450</xdr:rowOff>
              </to>
            </anchor>
          </objectPr>
        </oleObject>
      </mc:Choice>
      <mc:Fallback>
        <oleObject progId="Acrobat Document" dvAspect="DVASPECT_ICON" shapeId="1053" r:id="rId24"/>
      </mc:Fallback>
    </mc:AlternateContent>
    <mc:AlternateContent xmlns:mc="http://schemas.openxmlformats.org/markup-compatibility/2006">
      <mc:Choice Requires="x14">
        <oleObject progId="포장기 셸 개체" dvAspect="DVASPECT_ICON" shapeId="1115" r:id="rId26">
          <objectPr defaultSize="0" autoPict="0" r:id="rId27">
            <anchor moveWithCells="1">
              <from>
                <xdr:col>12</xdr:col>
                <xdr:colOff>95250</xdr:colOff>
                <xdr:row>10</xdr:row>
                <xdr:rowOff>133350</xdr:rowOff>
              </from>
              <to>
                <xdr:col>12</xdr:col>
                <xdr:colOff>698500</xdr:colOff>
                <xdr:row>13</xdr:row>
                <xdr:rowOff>69850</xdr:rowOff>
              </to>
            </anchor>
          </objectPr>
        </oleObject>
      </mc:Choice>
      <mc:Fallback>
        <oleObject progId="포장기 셸 개체" dvAspect="DVASPECT_ICON" shapeId="1115" r:id="rId26"/>
      </mc:Fallback>
    </mc:AlternateContent>
    <mc:AlternateContent xmlns:mc="http://schemas.openxmlformats.org/markup-compatibility/2006">
      <mc:Choice Requires="x14">
        <oleObject progId="Acrobat Document" dvAspect="DVASPECT_ICON" shapeId="1116" r:id="rId28">
          <objectPr defaultSize="0" autoPict="0" r:id="rId29">
            <anchor moveWithCells="1">
              <from>
                <xdr:col>12</xdr:col>
                <xdr:colOff>95250</xdr:colOff>
                <xdr:row>26</xdr:row>
                <xdr:rowOff>88900</xdr:rowOff>
              </from>
              <to>
                <xdr:col>12</xdr:col>
                <xdr:colOff>603250</xdr:colOff>
                <xdr:row>28</xdr:row>
                <xdr:rowOff>88900</xdr:rowOff>
              </to>
            </anchor>
          </objectPr>
        </oleObject>
      </mc:Choice>
      <mc:Fallback>
        <oleObject progId="Acrobat Document" dvAspect="DVASPECT_ICON" shapeId="1116" r:id="rId28"/>
      </mc:Fallback>
    </mc:AlternateContent>
    <mc:AlternateContent xmlns:mc="http://schemas.openxmlformats.org/markup-compatibility/2006">
      <mc:Choice Requires="x14">
        <oleObject progId="Acrobat Document" dvAspect="DVASPECT_ICON" shapeId="1117" r:id="rId30">
          <objectPr defaultSize="0" autoPict="0" r:id="rId29">
            <anchor moveWithCells="1">
              <from>
                <xdr:col>12</xdr:col>
                <xdr:colOff>107950</xdr:colOff>
                <xdr:row>36</xdr:row>
                <xdr:rowOff>57150</xdr:rowOff>
              </from>
              <to>
                <xdr:col>12</xdr:col>
                <xdr:colOff>609600</xdr:colOff>
                <xdr:row>38</xdr:row>
                <xdr:rowOff>57150</xdr:rowOff>
              </to>
            </anchor>
          </objectPr>
        </oleObject>
      </mc:Choice>
      <mc:Fallback>
        <oleObject progId="Acrobat Document" dvAspect="DVASPECT_ICON" shapeId="1117" r:id="rId30"/>
      </mc:Fallback>
    </mc:AlternateContent>
    <mc:AlternateContent xmlns:mc="http://schemas.openxmlformats.org/markup-compatibility/2006">
      <mc:Choice Requires="x14">
        <oleObject progId="Acrobat Document" dvAspect="DVASPECT_ICON" shapeId="1118" r:id="rId31">
          <objectPr defaultSize="0" autoPict="0" r:id="rId32">
            <anchor moveWithCells="1">
              <from>
                <xdr:col>12</xdr:col>
                <xdr:colOff>203200</xdr:colOff>
                <xdr:row>40</xdr:row>
                <xdr:rowOff>114300</xdr:rowOff>
              </from>
              <to>
                <xdr:col>12</xdr:col>
                <xdr:colOff>628650</xdr:colOff>
                <xdr:row>42</xdr:row>
                <xdr:rowOff>95250</xdr:rowOff>
              </to>
            </anchor>
          </objectPr>
        </oleObject>
      </mc:Choice>
      <mc:Fallback>
        <oleObject progId="Acrobat Document" dvAspect="DVASPECT_ICON" shapeId="1118" r:id="rId31"/>
      </mc:Fallback>
    </mc:AlternateContent>
    <mc:AlternateContent xmlns:mc="http://schemas.openxmlformats.org/markup-compatibility/2006">
      <mc:Choice Requires="x14">
        <oleObject progId="Acrobat Document" dvAspect="DVASPECT_ICON" shapeId="1119" r:id="rId33">
          <objectPr defaultSize="0" autoPict="0" r:id="rId34">
            <anchor moveWithCells="1">
              <from>
                <xdr:col>12</xdr:col>
                <xdr:colOff>203200</xdr:colOff>
                <xdr:row>43</xdr:row>
                <xdr:rowOff>127000</xdr:rowOff>
              </from>
              <to>
                <xdr:col>12</xdr:col>
                <xdr:colOff>628650</xdr:colOff>
                <xdr:row>45</xdr:row>
                <xdr:rowOff>69850</xdr:rowOff>
              </to>
            </anchor>
          </objectPr>
        </oleObject>
      </mc:Choice>
      <mc:Fallback>
        <oleObject progId="Acrobat Document" dvAspect="DVASPECT_ICON" shapeId="1119" r:id="rId33"/>
      </mc:Fallback>
    </mc:AlternateContent>
    <mc:AlternateContent xmlns:mc="http://schemas.openxmlformats.org/markup-compatibility/2006">
      <mc:Choice Requires="x14">
        <oleObject progId="포장기 셸 개체" dvAspect="DVASPECT_ICON" shapeId="1120" r:id="rId35">
          <objectPr defaultSize="0" autoPict="0" r:id="rId36">
            <anchor moveWithCells="1">
              <from>
                <xdr:col>12</xdr:col>
                <xdr:colOff>203200</xdr:colOff>
                <xdr:row>61</xdr:row>
                <xdr:rowOff>146050</xdr:rowOff>
              </from>
              <to>
                <xdr:col>12</xdr:col>
                <xdr:colOff>628650</xdr:colOff>
                <xdr:row>63</xdr:row>
                <xdr:rowOff>19050</xdr:rowOff>
              </to>
            </anchor>
          </objectPr>
        </oleObject>
      </mc:Choice>
      <mc:Fallback>
        <oleObject progId="포장기 셸 개체" dvAspect="DVASPECT_ICON" shapeId="1120" r:id="rId35"/>
      </mc:Fallback>
    </mc:AlternateContent>
    <mc:AlternateContent xmlns:mc="http://schemas.openxmlformats.org/markup-compatibility/2006">
      <mc:Choice Requires="x14">
        <oleObject progId="포장기 셸 개체" dvAspect="DVASPECT_ICON" shapeId="1121" r:id="rId37">
          <objectPr defaultSize="0" autoPict="0" r:id="rId38">
            <anchor moveWithCells="1">
              <from>
                <xdr:col>12</xdr:col>
                <xdr:colOff>127000</xdr:colOff>
                <xdr:row>51</xdr:row>
                <xdr:rowOff>76200</xdr:rowOff>
              </from>
              <to>
                <xdr:col>12</xdr:col>
                <xdr:colOff>552450</xdr:colOff>
                <xdr:row>52</xdr:row>
                <xdr:rowOff>133350</xdr:rowOff>
              </to>
            </anchor>
          </objectPr>
        </oleObject>
      </mc:Choice>
      <mc:Fallback>
        <oleObject progId="포장기 셸 개체" dvAspect="DVASPECT_ICON" shapeId="1121" r:id="rId37"/>
      </mc:Fallback>
    </mc:AlternateContent>
    <mc:AlternateContent xmlns:mc="http://schemas.openxmlformats.org/markup-compatibility/2006">
      <mc:Choice Requires="x14">
        <oleObject progId="Acrobat Document" dvAspect="DVASPECT_ICON" shapeId="1122" r:id="rId39">
          <objectPr defaultSize="0" autoPict="0" r:id="rId40">
            <anchor moveWithCells="1">
              <from>
                <xdr:col>12</xdr:col>
                <xdr:colOff>209550</xdr:colOff>
                <xdr:row>70</xdr:row>
                <xdr:rowOff>171450</xdr:rowOff>
              </from>
              <to>
                <xdr:col>12</xdr:col>
                <xdr:colOff>488950</xdr:colOff>
                <xdr:row>71</xdr:row>
                <xdr:rowOff>133350</xdr:rowOff>
              </to>
            </anchor>
          </objectPr>
        </oleObject>
      </mc:Choice>
      <mc:Fallback>
        <oleObject progId="Acrobat Document" dvAspect="DVASPECT_ICON" shapeId="1122" r:id="rId39"/>
      </mc:Fallback>
    </mc:AlternateContent>
    <mc:AlternateContent xmlns:mc="http://schemas.openxmlformats.org/markup-compatibility/2006">
      <mc:Choice Requires="x14">
        <oleObject progId="Acrobat Document" dvAspect="DVASPECT_ICON" shapeId="1123" r:id="rId41">
          <objectPr defaultSize="0" autoPict="0" r:id="rId42">
            <anchor moveWithCells="1">
              <from>
                <xdr:col>12</xdr:col>
                <xdr:colOff>228600</xdr:colOff>
                <xdr:row>71</xdr:row>
                <xdr:rowOff>165100</xdr:rowOff>
              </from>
              <to>
                <xdr:col>12</xdr:col>
                <xdr:colOff>508000</xdr:colOff>
                <xdr:row>72</xdr:row>
                <xdr:rowOff>152400</xdr:rowOff>
              </to>
            </anchor>
          </objectPr>
        </oleObject>
      </mc:Choice>
      <mc:Fallback>
        <oleObject progId="Acrobat Document" dvAspect="DVASPECT_ICON" shapeId="1123" r:id="rId41"/>
      </mc:Fallback>
    </mc:AlternateContent>
    <mc:AlternateContent xmlns:mc="http://schemas.openxmlformats.org/markup-compatibility/2006">
      <mc:Choice Requires="x14">
        <oleObject progId="포장기 셸 개체" dvAspect="DVASPECT_ICON" shapeId="1124" r:id="rId43">
          <objectPr defaultSize="0" autoPict="0" r:id="rId44">
            <anchor moveWithCells="1">
              <from>
                <xdr:col>12</xdr:col>
                <xdr:colOff>184150</xdr:colOff>
                <xdr:row>74</xdr:row>
                <xdr:rowOff>12700</xdr:rowOff>
              </from>
              <to>
                <xdr:col>12</xdr:col>
                <xdr:colOff>565150</xdr:colOff>
                <xdr:row>75</xdr:row>
                <xdr:rowOff>127000</xdr:rowOff>
              </to>
            </anchor>
          </objectPr>
        </oleObject>
      </mc:Choice>
      <mc:Fallback>
        <oleObject progId="포장기 셸 개체" dvAspect="DVASPECT_ICON" shapeId="1124" r:id="rId43"/>
      </mc:Fallback>
    </mc:AlternateContent>
    <mc:AlternateContent xmlns:mc="http://schemas.openxmlformats.org/markup-compatibility/2006">
      <mc:Choice Requires="x14">
        <oleObject progId="포장기 셸 개체" dvAspect="DVASPECT_ICON" shapeId="1125" r:id="rId45">
          <objectPr defaultSize="0" autoPict="0" r:id="rId46">
            <anchor moveWithCells="1">
              <from>
                <xdr:col>12</xdr:col>
                <xdr:colOff>127000</xdr:colOff>
                <xdr:row>20</xdr:row>
                <xdr:rowOff>38100</xdr:rowOff>
              </from>
              <to>
                <xdr:col>12</xdr:col>
                <xdr:colOff>628650</xdr:colOff>
                <xdr:row>22</xdr:row>
                <xdr:rowOff>38100</xdr:rowOff>
              </to>
            </anchor>
          </objectPr>
        </oleObject>
      </mc:Choice>
      <mc:Fallback>
        <oleObject progId="포장기 셸 개체" dvAspect="DVASPECT_ICON" shapeId="1125" r:id="rId45"/>
      </mc:Fallback>
    </mc:AlternateContent>
    <mc:AlternateContent xmlns:mc="http://schemas.openxmlformats.org/markup-compatibility/2006">
      <mc:Choice Requires="x14">
        <oleObject progId="포장기 셸 개체" dvAspect="DVASPECT_ICON" shapeId="1126" r:id="rId47">
          <objectPr defaultSize="0" autoPict="0" r:id="rId48">
            <anchor moveWithCells="1">
              <from>
                <xdr:col>12</xdr:col>
                <xdr:colOff>114300</xdr:colOff>
                <xdr:row>22</xdr:row>
                <xdr:rowOff>133350</xdr:rowOff>
              </from>
              <to>
                <xdr:col>12</xdr:col>
                <xdr:colOff>641350</xdr:colOff>
                <xdr:row>24</xdr:row>
                <xdr:rowOff>146050</xdr:rowOff>
              </to>
            </anchor>
          </objectPr>
        </oleObject>
      </mc:Choice>
      <mc:Fallback>
        <oleObject progId="포장기 셸 개체" dvAspect="DVASPECT_ICON" shapeId="1126" r:id="rId47"/>
      </mc:Fallback>
    </mc:AlternateContent>
    <mc:AlternateContent xmlns:mc="http://schemas.openxmlformats.org/markup-compatibility/2006">
      <mc:Choice Requires="x14">
        <oleObject progId="포장기 셸 개체" dvAspect="DVASPECT_ICON" shapeId="1127" r:id="rId49">
          <objectPr defaultSize="0" autoPict="0" r:id="rId46">
            <anchor moveWithCells="1">
              <from>
                <xdr:col>12</xdr:col>
                <xdr:colOff>127000</xdr:colOff>
                <xdr:row>30</xdr:row>
                <xdr:rowOff>38100</xdr:rowOff>
              </from>
              <to>
                <xdr:col>12</xdr:col>
                <xdr:colOff>628650</xdr:colOff>
                <xdr:row>32</xdr:row>
                <xdr:rowOff>38100</xdr:rowOff>
              </to>
            </anchor>
          </objectPr>
        </oleObject>
      </mc:Choice>
      <mc:Fallback>
        <oleObject progId="포장기 셸 개체" dvAspect="DVASPECT_ICON" shapeId="1127" r:id="rId49"/>
      </mc:Fallback>
    </mc:AlternateContent>
    <mc:AlternateContent xmlns:mc="http://schemas.openxmlformats.org/markup-compatibility/2006">
      <mc:Choice Requires="x14">
        <oleObject progId="포장기 셸 개체" dvAspect="DVASPECT_ICON" shapeId="1128" r:id="rId50">
          <objectPr defaultSize="0" autoPict="0" r:id="rId48">
            <anchor moveWithCells="1">
              <from>
                <xdr:col>12</xdr:col>
                <xdr:colOff>114300</xdr:colOff>
                <xdr:row>32</xdr:row>
                <xdr:rowOff>133350</xdr:rowOff>
              </from>
              <to>
                <xdr:col>12</xdr:col>
                <xdr:colOff>641350</xdr:colOff>
                <xdr:row>34</xdr:row>
                <xdr:rowOff>146050</xdr:rowOff>
              </to>
            </anchor>
          </objectPr>
        </oleObject>
      </mc:Choice>
      <mc:Fallback>
        <oleObject progId="포장기 셸 개체" dvAspect="DVASPECT_ICON" shapeId="1128" r:id="rId5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XS1-A01A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Sunny</cp:lastModifiedBy>
  <dcterms:created xsi:type="dcterms:W3CDTF">2009-10-26T23:12:38Z</dcterms:created>
  <dcterms:modified xsi:type="dcterms:W3CDTF">2017-04-26T02:43:16Z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Author">
    <vt:lpwstr>Sunny Suen</vt:lpwstr>
  </property>
  <property pid="3" fmtid="{D5CDD505-2E9C-101B-9397-08002B2CF9AE}" name="CogniDox_Issuer">
    <vt:lpwstr>Sunny Suen (sunny)</vt:lpwstr>
  </property>
  <property pid="4" fmtid="{D5CDD505-2E9C-101B-9397-08002B2CF9AE}" name="CogniDox_IssueDate">
    <vt:lpwstr>26 Apr 2017</vt:lpwstr>
  </property>
  <property pid="5" fmtid="{D5CDD505-2E9C-101B-9397-08002B2CF9AE}" name="CogniDox_Partnum">
    <vt:lpwstr>XM-003646-UN</vt:lpwstr>
  </property>
  <property pid="6" fmtid="{D5CDD505-2E9C-101B-9397-08002B2CF9AE}" name="CogniDox_Version">
    <vt:lpwstr>6</vt:lpwstr>
  </property>
  <property pid="7" fmtid="{D5CDD505-2E9C-101B-9397-08002B2CF9AE}" name="CogniDoxKey_Value">
    <vt:lpwstr>g/wBtNr+jboCcL6Gkw1TYoXtWMU</vt:lpwstr>
  </property>
  <property pid="8" fmtid="{D5CDD505-2E9C-101B-9397-08002B2CF9AE}" name="CogniDox_Title">
    <vt:lpwstr>FB96 A-Series Chemical Analysis/RoHS/MSDS data reports spreadsheet</vt:lpwstr>
  </property>
  <property pid="9" fmtid="{D5CDD505-2E9C-101B-9397-08002B2CF9AE}" name="CogniDox_IssuerName">
    <vt:lpwstr>Sunny Suen</vt:lpwstr>
  </property>
  <property pid="10" fmtid="{D5CDD505-2E9C-101B-9397-08002B2CF9AE}" name="CogniDox_VersionType">
    <vt:lpwstr>Issue</vt:lpwstr>
  </property>
  <property pid="11" fmtid="{D5CDD505-2E9C-101B-9397-08002B2CF9AE}" name="CogniDox_Meta_Auto-update">
    <vt:bool>true</vt:bool>
  </property>
  <property pid="12" fmtid="{D5CDD505-2E9C-101B-9397-08002B2CF9AE}" name="CogniDox_Meta_Published URL">
    <vt:lpwstr>/published/</vt:lpwstr>
  </property>
</Properties>
</file>